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D:\Dropbox\Material PIC\Tools\@SHARED TOOLS\PIC NUTRITION TOOLS\1. PIC LYSINE BIOLOGICAL AND ECONOMIC TOOLS\"/>
    </mc:Choice>
  </mc:AlternateContent>
  <xr:revisionPtr revIDLastSave="0" documentId="13_ncr:1_{4801C60C-8878-4C34-8FA8-A5BD3E31E5FD}" xr6:coauthVersionLast="45" xr6:coauthVersionMax="45" xr10:uidLastSave="{00000000-0000-0000-0000-000000000000}"/>
  <workbookProtection workbookAlgorithmName="SHA-512" workbookHashValue="j20P1F/UoO+4NUZeEiTp1RiwVVVL3dDV7MkeF8TAm27CdRXmG/mIGkY1Ew7565DTK+iHQ6PB62qmurbDGGV0ig==" workbookSaltValue="oxF7COV66z5Hu6sz+vtrSA==" workbookSpinCount="100000" lockStructure="1"/>
  <bookViews>
    <workbookView xWindow="38280" yWindow="-45" windowWidth="38640" windowHeight="21240" xr2:uid="{00000000-000D-0000-FFFF-FFFF00000000}"/>
  </bookViews>
  <sheets>
    <sheet name="Instructions" sheetId="9" r:id="rId1"/>
    <sheet name="Imperial - NE" sheetId="12" r:id="rId2"/>
    <sheet name="Metric - NE" sheetId="11" r:id="rId3"/>
  </sheets>
  <definedNames>
    <definedName name="solver_adj" localSheetId="1" hidden="1">'Imperial - NE'!#REF!</definedName>
    <definedName name="solver_adj" localSheetId="0" hidden="1">Instructions!#REF!</definedName>
    <definedName name="solver_adj" localSheetId="2" hidden="1">'Metric - NE'!#REF!</definedName>
    <definedName name="solver_cvg" localSheetId="1" hidden="1">0.0001</definedName>
    <definedName name="solver_cvg" localSheetId="0" hidden="1">0.0001</definedName>
    <definedName name="solver_cvg" localSheetId="2" hidden="1">0.0001</definedName>
    <definedName name="solver_drv" localSheetId="1" hidden="1">1</definedName>
    <definedName name="solver_drv" localSheetId="0" hidden="1">1</definedName>
    <definedName name="solver_drv" localSheetId="2" hidden="1">1</definedName>
    <definedName name="solver_est" localSheetId="1" hidden="1">1</definedName>
    <definedName name="solver_est" localSheetId="0" hidden="1">1</definedName>
    <definedName name="solver_est" localSheetId="2" hidden="1">1</definedName>
    <definedName name="solver_itr" localSheetId="1" hidden="1">100</definedName>
    <definedName name="solver_itr" localSheetId="0" hidden="1">100</definedName>
    <definedName name="solver_itr" localSheetId="2" hidden="1">100</definedName>
    <definedName name="solver_lhs1" localSheetId="1" hidden="1">'Imperial - NE'!#REF!</definedName>
    <definedName name="solver_lhs1" localSheetId="0" hidden="1">Instructions!#REF!</definedName>
    <definedName name="solver_lhs1" localSheetId="2" hidden="1">'Metric - NE'!#REF!</definedName>
    <definedName name="solver_lhs2" localSheetId="1" hidden="1">'Imperial - NE'!#REF!</definedName>
    <definedName name="solver_lhs2" localSheetId="0" hidden="1">Instructions!#REF!</definedName>
    <definedName name="solver_lhs2" localSheetId="2" hidden="1">'Metric - NE'!#REF!</definedName>
    <definedName name="solver_lin" localSheetId="1" hidden="1">2</definedName>
    <definedName name="solver_lin" localSheetId="0" hidden="1">2</definedName>
    <definedName name="solver_lin" localSheetId="2" hidden="1">2</definedName>
    <definedName name="solver_neg" localSheetId="1" hidden="1">2</definedName>
    <definedName name="solver_neg" localSheetId="0" hidden="1">2</definedName>
    <definedName name="solver_neg" localSheetId="2" hidden="1">2</definedName>
    <definedName name="solver_num" localSheetId="1" hidden="1">2</definedName>
    <definedName name="solver_num" localSheetId="0" hidden="1">2</definedName>
    <definedName name="solver_num" localSheetId="2" hidden="1">2</definedName>
    <definedName name="solver_nwt" localSheetId="1" hidden="1">1</definedName>
    <definedName name="solver_nwt" localSheetId="0" hidden="1">1</definedName>
    <definedName name="solver_nwt" localSheetId="2" hidden="1">1</definedName>
    <definedName name="solver_opt" localSheetId="1" hidden="1">'Imperial - NE'!#REF!</definedName>
    <definedName name="solver_opt" localSheetId="0" hidden="1">Instructions!#REF!</definedName>
    <definedName name="solver_opt" localSheetId="2" hidden="1">'Metric - NE'!#REF!</definedName>
    <definedName name="solver_pre" localSheetId="1" hidden="1">0.000001</definedName>
    <definedName name="solver_pre" localSheetId="0" hidden="1">0.000001</definedName>
    <definedName name="solver_pre" localSheetId="2" hidden="1">0.000001</definedName>
    <definedName name="solver_rel1" localSheetId="1" hidden="1">2</definedName>
    <definedName name="solver_rel1" localSheetId="0" hidden="1">2</definedName>
    <definedName name="solver_rel1" localSheetId="2" hidden="1">2</definedName>
    <definedName name="solver_rel2" localSheetId="1" hidden="1">2</definedName>
    <definedName name="solver_rel2" localSheetId="0" hidden="1">2</definedName>
    <definedName name="solver_rel2" localSheetId="2" hidden="1">2</definedName>
    <definedName name="solver_rhs1" localSheetId="1" hidden="1">0</definedName>
    <definedName name="solver_rhs1" localSheetId="0" hidden="1">0</definedName>
    <definedName name="solver_rhs1" localSheetId="2" hidden="1">0</definedName>
    <definedName name="solver_rhs2" localSheetId="1" hidden="1">0</definedName>
    <definedName name="solver_rhs2" localSheetId="0" hidden="1">0</definedName>
    <definedName name="solver_rhs2" localSheetId="2" hidden="1">0</definedName>
    <definedName name="solver_scl" localSheetId="1" hidden="1">2</definedName>
    <definedName name="solver_scl" localSheetId="0" hidden="1">2</definedName>
    <definedName name="solver_scl" localSheetId="2" hidden="1">2</definedName>
    <definedName name="solver_sho" localSheetId="1" hidden="1">2</definedName>
    <definedName name="solver_sho" localSheetId="0" hidden="1">2</definedName>
    <definedName name="solver_sho" localSheetId="2" hidden="1">2</definedName>
    <definedName name="solver_tim" localSheetId="1" hidden="1">100</definedName>
    <definedName name="solver_tim" localSheetId="0" hidden="1">100</definedName>
    <definedName name="solver_tim" localSheetId="2" hidden="1">100</definedName>
    <definedName name="solver_tol" localSheetId="1" hidden="1">0.05</definedName>
    <definedName name="solver_tol" localSheetId="0" hidden="1">0.05</definedName>
    <definedName name="solver_tol" localSheetId="2" hidden="1">0.05</definedName>
    <definedName name="solver_typ" localSheetId="1" hidden="1">2</definedName>
    <definedName name="solver_typ" localSheetId="0" hidden="1">2</definedName>
    <definedName name="solver_typ" localSheetId="2" hidden="1">2</definedName>
    <definedName name="solver_val" localSheetId="1" hidden="1">0</definedName>
    <definedName name="solver_val" localSheetId="0" hidden="1">0</definedName>
    <definedName name="solver_val" localSheetId="2" hidden="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1" i="12" l="1"/>
  <c r="F31" i="12"/>
  <c r="G31" i="12"/>
  <c r="H31" i="12"/>
  <c r="I31" i="12"/>
  <c r="J31" i="12"/>
  <c r="E31" i="11"/>
  <c r="F31" i="11"/>
  <c r="G31" i="11"/>
  <c r="H31" i="11"/>
  <c r="I31" i="11"/>
  <c r="J31" i="11"/>
  <c r="E20" i="11" l="1"/>
  <c r="F20" i="11"/>
  <c r="G20" i="11"/>
  <c r="H20" i="11"/>
  <c r="I20" i="11"/>
  <c r="J20" i="11"/>
  <c r="C5" i="12"/>
  <c r="E20" i="12"/>
  <c r="F20" i="12"/>
  <c r="G20" i="12"/>
  <c r="H20" i="12"/>
  <c r="I20" i="12"/>
  <c r="J20" i="12"/>
  <c r="E23" i="11" l="1"/>
  <c r="F23" i="11"/>
  <c r="G23" i="11"/>
  <c r="H23" i="11"/>
  <c r="I23" i="11"/>
  <c r="J23" i="11"/>
  <c r="E22" i="11"/>
  <c r="F22" i="11"/>
  <c r="G22" i="11"/>
  <c r="H22" i="11"/>
  <c r="I22" i="11"/>
  <c r="J22" i="11"/>
  <c r="E23" i="12"/>
  <c r="F23" i="12"/>
  <c r="G23" i="12"/>
  <c r="H23" i="12"/>
  <c r="I23" i="12"/>
  <c r="J23" i="12"/>
  <c r="E22" i="12"/>
  <c r="F22" i="12"/>
  <c r="G22" i="12"/>
  <c r="H22" i="12"/>
  <c r="I22" i="12"/>
  <c r="J22" i="12"/>
  <c r="E8" i="12" l="1"/>
  <c r="F8" i="12"/>
  <c r="E9" i="12"/>
  <c r="F9" i="12"/>
  <c r="D9" i="12" l="1"/>
  <c r="G9" i="12"/>
  <c r="H9" i="12"/>
  <c r="I9" i="12"/>
  <c r="J9" i="12"/>
  <c r="C9" i="12"/>
  <c r="D8" i="12"/>
  <c r="D22" i="12" s="1"/>
  <c r="G8" i="12"/>
  <c r="H8" i="12"/>
  <c r="I8" i="12"/>
  <c r="J8" i="12"/>
  <c r="C8" i="12"/>
  <c r="C22" i="12" s="1"/>
  <c r="G10" i="12" l="1"/>
  <c r="J10" i="12"/>
  <c r="I10" i="12"/>
  <c r="F10" i="12"/>
  <c r="E10" i="12"/>
  <c r="D10" i="12"/>
  <c r="D23" i="12" s="1"/>
  <c r="C10" i="12"/>
  <c r="C23" i="12" s="1"/>
  <c r="H10" i="12"/>
  <c r="C4" i="12" l="1"/>
  <c r="B36" i="12"/>
  <c r="H21" i="12"/>
  <c r="H4" i="12"/>
  <c r="I21" i="12"/>
  <c r="I4" i="12"/>
  <c r="G4" i="12"/>
  <c r="G21" i="12"/>
  <c r="E21" i="12"/>
  <c r="E4" i="12"/>
  <c r="D21" i="12"/>
  <c r="D4" i="12"/>
  <c r="F21" i="12"/>
  <c r="F4" i="12"/>
  <c r="C21" i="12"/>
  <c r="J13" i="12"/>
  <c r="I13" i="12"/>
  <c r="H13" i="12"/>
  <c r="G13" i="12"/>
  <c r="F13" i="12"/>
  <c r="E13" i="12"/>
  <c r="D13" i="12"/>
  <c r="C13" i="12"/>
  <c r="J12" i="12"/>
  <c r="I12" i="12"/>
  <c r="H12" i="12"/>
  <c r="G12" i="12"/>
  <c r="G14" i="12" s="1"/>
  <c r="F12" i="12"/>
  <c r="E12" i="12"/>
  <c r="D12" i="12"/>
  <c r="C12" i="12"/>
  <c r="J13" i="11"/>
  <c r="I13" i="11"/>
  <c r="H13" i="11"/>
  <c r="G13" i="11"/>
  <c r="F13" i="11"/>
  <c r="E13" i="11"/>
  <c r="D13" i="11"/>
  <c r="C13" i="11"/>
  <c r="J12" i="11"/>
  <c r="I12" i="11"/>
  <c r="H12" i="11"/>
  <c r="H14" i="11" s="1"/>
  <c r="G12" i="11"/>
  <c r="F12" i="11"/>
  <c r="E12" i="11"/>
  <c r="D12" i="11"/>
  <c r="C12" i="11"/>
  <c r="J9" i="11"/>
  <c r="I9" i="11"/>
  <c r="H9" i="11"/>
  <c r="G9" i="11"/>
  <c r="F9" i="11"/>
  <c r="E9" i="11"/>
  <c r="D9" i="11"/>
  <c r="C9" i="11"/>
  <c r="J8" i="11"/>
  <c r="I8" i="11"/>
  <c r="H8" i="11"/>
  <c r="G8" i="11"/>
  <c r="F8" i="11"/>
  <c r="E8" i="11"/>
  <c r="D8" i="11"/>
  <c r="D22" i="11" s="1"/>
  <c r="C8" i="11"/>
  <c r="C22" i="11" s="1"/>
  <c r="I14" i="11" l="1"/>
  <c r="J14" i="11"/>
  <c r="J14" i="12"/>
  <c r="F14" i="11"/>
  <c r="G14" i="11"/>
  <c r="I14" i="12"/>
  <c r="C36" i="12"/>
  <c r="H14" i="12"/>
  <c r="J4" i="12"/>
  <c r="J21" i="12"/>
  <c r="E14" i="11"/>
  <c r="D14" i="11"/>
  <c r="J10" i="11"/>
  <c r="C14" i="11"/>
  <c r="H10" i="11"/>
  <c r="E10" i="11"/>
  <c r="I10" i="11"/>
  <c r="G10" i="11"/>
  <c r="F10" i="11"/>
  <c r="F14" i="12"/>
  <c r="C14" i="12"/>
  <c r="E14" i="12"/>
  <c r="D14" i="12"/>
  <c r="D10" i="11"/>
  <c r="D23" i="11" s="1"/>
  <c r="C10" i="11"/>
  <c r="C23" i="11" s="1"/>
  <c r="D30" i="12"/>
  <c r="H30" i="12"/>
  <c r="E30" i="12"/>
  <c r="I30" i="12"/>
  <c r="G30" i="12"/>
  <c r="F30" i="12"/>
  <c r="J18" i="12" l="1"/>
  <c r="J27" i="12" s="1"/>
  <c r="J30" i="12"/>
  <c r="J17" i="12"/>
  <c r="J26" i="12" s="1"/>
  <c r="F21" i="11"/>
  <c r="F4" i="11"/>
  <c r="H21" i="11"/>
  <c r="H30" i="11" s="1"/>
  <c r="H4" i="11"/>
  <c r="G21" i="11"/>
  <c r="G30" i="11" s="1"/>
  <c r="G4" i="11"/>
  <c r="I21" i="11"/>
  <c r="I30" i="11" s="1"/>
  <c r="I4" i="11"/>
  <c r="E21" i="11"/>
  <c r="E30" i="11" s="1"/>
  <c r="E4" i="11"/>
  <c r="J4" i="11"/>
  <c r="C4" i="11"/>
  <c r="J21" i="11"/>
  <c r="J18" i="11" s="1"/>
  <c r="C21" i="11"/>
  <c r="C18" i="11" s="1"/>
  <c r="C19" i="11" s="1"/>
  <c r="D4" i="11"/>
  <c r="E18" i="12"/>
  <c r="G17" i="12"/>
  <c r="G26" i="12" s="1"/>
  <c r="D17" i="12"/>
  <c r="I17" i="12"/>
  <c r="I26" i="12" s="1"/>
  <c r="G18" i="12"/>
  <c r="G19" i="12" s="1"/>
  <c r="G28" i="12" s="1"/>
  <c r="I18" i="12"/>
  <c r="I19" i="12" s="1"/>
  <c r="I28" i="12" s="1"/>
  <c r="E17" i="12"/>
  <c r="E26" i="12" s="1"/>
  <c r="D18" i="12"/>
  <c r="F17" i="12"/>
  <c r="F26" i="12" s="1"/>
  <c r="H18" i="12"/>
  <c r="H19" i="12" s="1"/>
  <c r="H28" i="12" s="1"/>
  <c r="F18" i="12"/>
  <c r="H17" i="12"/>
  <c r="H26" i="12" s="1"/>
  <c r="F30" i="11"/>
  <c r="C30" i="12"/>
  <c r="D26" i="12" l="1"/>
  <c r="D20" i="12"/>
  <c r="J29" i="12"/>
  <c r="J19" i="12"/>
  <c r="J28" i="12" s="1"/>
  <c r="H17" i="11"/>
  <c r="H26" i="11" s="1"/>
  <c r="J17" i="11"/>
  <c r="J26" i="11" s="1"/>
  <c r="J30" i="11"/>
  <c r="J19" i="11"/>
  <c r="J28" i="11" s="1"/>
  <c r="J27" i="11"/>
  <c r="I18" i="11"/>
  <c r="I19" i="11" s="1"/>
  <c r="I28" i="11" s="1"/>
  <c r="I17" i="11"/>
  <c r="I26" i="11" s="1"/>
  <c r="H18" i="11"/>
  <c r="B36" i="11"/>
  <c r="C36" i="11" s="1"/>
  <c r="E19" i="12"/>
  <c r="D19" i="12"/>
  <c r="D28" i="12" s="1"/>
  <c r="F19" i="12"/>
  <c r="F28" i="12" s="1"/>
  <c r="D21" i="11"/>
  <c r="D30" i="11" s="1"/>
  <c r="D27" i="12"/>
  <c r="D31" i="12" s="1"/>
  <c r="F29" i="12"/>
  <c r="F27" i="12"/>
  <c r="H29" i="12"/>
  <c r="H27" i="12"/>
  <c r="I29" i="12"/>
  <c r="I27" i="12"/>
  <c r="G29" i="12"/>
  <c r="G27" i="12"/>
  <c r="E29" i="12"/>
  <c r="E27" i="12"/>
  <c r="C30" i="11"/>
  <c r="C17" i="11"/>
  <c r="D29" i="12"/>
  <c r="C18" i="12"/>
  <c r="C17" i="12"/>
  <c r="E17" i="11"/>
  <c r="E26" i="11" s="1"/>
  <c r="E18" i="11"/>
  <c r="G18" i="11"/>
  <c r="G17" i="11"/>
  <c r="G26" i="11" s="1"/>
  <c r="F17" i="11"/>
  <c r="F26" i="11" s="1"/>
  <c r="F18" i="11"/>
  <c r="C26" i="11" l="1"/>
  <c r="C20" i="11"/>
  <c r="C29" i="11" s="1"/>
  <c r="C26" i="12"/>
  <c r="C20" i="12"/>
  <c r="C29" i="12" s="1"/>
  <c r="J32" i="12"/>
  <c r="J32" i="11"/>
  <c r="J29" i="11"/>
  <c r="E28" i="12"/>
  <c r="I29" i="11"/>
  <c r="I27" i="11"/>
  <c r="H27" i="11"/>
  <c r="H19" i="11"/>
  <c r="H28" i="11" s="1"/>
  <c r="D17" i="11"/>
  <c r="C19" i="12"/>
  <c r="C28" i="12" s="1"/>
  <c r="F19" i="11"/>
  <c r="F28" i="11" s="1"/>
  <c r="G19" i="11"/>
  <c r="G28" i="11" s="1"/>
  <c r="E19" i="11"/>
  <c r="E28" i="11" s="1"/>
  <c r="D18" i="11"/>
  <c r="C28" i="11"/>
  <c r="C27" i="12"/>
  <c r="F27" i="11"/>
  <c r="G27" i="11"/>
  <c r="E27" i="11"/>
  <c r="C27" i="11"/>
  <c r="C31" i="11" s="1"/>
  <c r="H32" i="12"/>
  <c r="G32" i="12"/>
  <c r="E32" i="12"/>
  <c r="D32" i="12"/>
  <c r="H29" i="11"/>
  <c r="H32" i="11"/>
  <c r="I32" i="12"/>
  <c r="F32" i="12"/>
  <c r="F29" i="11"/>
  <c r="C31" i="12" l="1"/>
  <c r="D26" i="11"/>
  <c r="D20" i="11"/>
  <c r="D29" i="11" s="1"/>
  <c r="I32" i="11"/>
  <c r="B38" i="12"/>
  <c r="C38" i="12" s="1"/>
  <c r="D19" i="11"/>
  <c r="B38" i="11" s="1"/>
  <c r="C38" i="11" s="1"/>
  <c r="D27" i="11"/>
  <c r="G29" i="11"/>
  <c r="E32" i="11"/>
  <c r="E29" i="11"/>
  <c r="C32" i="11"/>
  <c r="C32" i="12"/>
  <c r="G32" i="11"/>
  <c r="F32" i="11"/>
  <c r="D31" i="11" l="1"/>
  <c r="B19" i="12"/>
  <c r="B28" i="12"/>
  <c r="B28" i="11"/>
  <c r="B19" i="11"/>
  <c r="D28" i="11"/>
  <c r="D32" i="11"/>
</calcChain>
</file>

<file path=xl/sharedStrings.xml><?xml version="1.0" encoding="utf-8"?>
<sst xmlns="http://schemas.openxmlformats.org/spreadsheetml/2006/main" count="46" uniqueCount="18">
  <si>
    <t>Weight In, kg</t>
  </si>
  <si>
    <t>Weight Out, kg</t>
  </si>
  <si>
    <t>Weight Out, lb</t>
  </si>
  <si>
    <t>Weight In, lb</t>
  </si>
  <si>
    <t>Energy level, NRC NE kcal/kg</t>
  </si>
  <si>
    <t>Energy level, NRC NE kcal/lb</t>
  </si>
  <si>
    <t>% SID Lys (Boars:Barrows)</t>
  </si>
  <si>
    <t xml:space="preserve">     Barrows</t>
  </si>
  <si>
    <t xml:space="preserve">     Gilts</t>
  </si>
  <si>
    <t xml:space="preserve">     Boars</t>
  </si>
  <si>
    <t xml:space="preserve">     Barrows and Gilts</t>
  </si>
  <si>
    <t xml:space="preserve">     Boars and Gilts</t>
  </si>
  <si>
    <t>SID Lys, % of the diet</t>
  </si>
  <si>
    <t>SID Lys, grams:Mcal NE</t>
  </si>
  <si>
    <t xml:space="preserve">85% of PIC as min @beginning </t>
  </si>
  <si>
    <t>100% of PIC on average</t>
  </si>
  <si>
    <t>α</t>
  </si>
  <si>
    <t>The SID Lys to energy ratios meet the biological requirements for PIC 327, 337, and 359 sired pigs. PIC suggests to utilize 99% of the tool estimates for PIC 380, 408, and 410 sired pigs; and 97% for PIC 800 sired pigs to achieve the biological requirements of these sirelines.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</si>
</sst>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2"/>
      <color rgb="FFFF0000"/>
      <name val="Calibri"/>
      <family val="2"/>
      <scheme val="minor"/>
    </font>
    <font>
      <b/>
      <sz val="16"/>
      <color rgb="FFFF0000"/>
      <name val="Calibri"/>
      <family val="2"/>
      <scheme val="minor"/>
    </font>
    <font>
      <b/>
      <sz val="11"/>
      <color rgb="FFFF0000"/>
      <name val="Calibri"/>
      <family val="2"/>
      <scheme val="minor"/>
    </font>
    <font>
      <b/>
      <sz val="10"/>
      <color rgb="FF0070C0"/>
      <name val="Calibri"/>
      <family val="2"/>
      <scheme val="minor"/>
    </font>
    <font>
      <b/>
      <sz val="16"/>
      <color rgb="FF0070C0"/>
      <name val="Calibri"/>
      <family val="2"/>
    </font>
    <font>
      <b/>
      <sz val="16"/>
      <color rgb="FF0070C0"/>
      <name val="Calibri"/>
      <family val="2"/>
      <scheme val="minor"/>
    </font>
  </fonts>
  <fills count="3">
    <fill>
      <patternFill patternType="none"/>
    </fill>
    <fill>
      <patternFill patternType="gray125"/>
    </fill>
    <fill>
      <patternFill patternType="solid">
        <fgColor rgb="FFFF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3" fillId="0" borderId="0" applyFont="0" applyFill="0" applyBorder="0" applyAlignment="0" applyProtection="0"/>
  </cellStyleXfs>
  <cellXfs count="29">
    <xf numFmtId="0" fontId="0" fillId="0" borderId="0" xfId="0"/>
    <xf numFmtId="0" fontId="0" fillId="0" borderId="0" xfId="0" applyAlignment="1">
      <alignment horizontal="center"/>
    </xf>
    <xf numFmtId="1" fontId="0" fillId="2" borderId="1" xfId="0" applyNumberFormat="1" applyFill="1" applyBorder="1" applyAlignment="1" applyProtection="1">
      <alignment horizontal="center"/>
      <protection locked="0"/>
    </xf>
    <xf numFmtId="0" fontId="0" fillId="0" borderId="0" xfId="0" applyAlignment="1">
      <alignment horizontal="left"/>
    </xf>
    <xf numFmtId="2" fontId="0" fillId="0" borderId="1" xfId="0" applyNumberFormat="1" applyFill="1" applyBorder="1" applyAlignment="1" applyProtection="1">
      <alignment horizontal="center"/>
      <protection hidden="1"/>
    </xf>
    <xf numFmtId="0" fontId="2" fillId="0" borderId="0" xfId="0" applyFont="1" applyFill="1" applyAlignment="1">
      <alignment horizontal="center"/>
    </xf>
    <xf numFmtId="0" fontId="2" fillId="0" borderId="0" xfId="0" applyFont="1" applyFill="1"/>
    <xf numFmtId="0" fontId="2" fillId="0" borderId="0" xfId="0" applyFont="1" applyFill="1" applyProtection="1">
      <protection hidden="1"/>
    </xf>
    <xf numFmtId="0" fontId="2" fillId="0" borderId="0" xfId="0" applyFont="1" applyFill="1" applyAlignment="1" applyProtection="1">
      <alignment horizontal="center"/>
      <protection hidden="1"/>
    </xf>
    <xf numFmtId="0" fontId="1" fillId="0" borderId="0" xfId="0" applyFont="1" applyProtection="1">
      <protection hidden="1"/>
    </xf>
    <xf numFmtId="0" fontId="0" fillId="0" borderId="0" xfId="0" applyAlignment="1" applyProtection="1">
      <alignment horizontal="center"/>
      <protection hidden="1"/>
    </xf>
    <xf numFmtId="0" fontId="0" fillId="0" borderId="0" xfId="0" applyProtection="1">
      <protection hidden="1"/>
    </xf>
    <xf numFmtId="0" fontId="0" fillId="0" borderId="0" xfId="0" applyFill="1" applyProtection="1">
      <protection hidden="1"/>
    </xf>
    <xf numFmtId="1" fontId="0" fillId="0" borderId="1" xfId="0" applyNumberFormat="1" applyFill="1" applyBorder="1" applyAlignment="1" applyProtection="1">
      <alignment horizontal="center"/>
      <protection hidden="1"/>
    </xf>
    <xf numFmtId="164" fontId="0" fillId="0" borderId="0" xfId="0" applyNumberFormat="1" applyAlignment="1" applyProtection="1">
      <alignment horizontal="center"/>
      <protection hidden="1"/>
    </xf>
    <xf numFmtId="164" fontId="0" fillId="0" borderId="0" xfId="0" applyNumberFormat="1" applyFill="1" applyAlignment="1" applyProtection="1">
      <alignment horizontal="center"/>
      <protection hidden="1"/>
    </xf>
    <xf numFmtId="0" fontId="0" fillId="0" borderId="0" xfId="0" applyFill="1" applyAlignment="1" applyProtection="1">
      <alignment horizontal="center"/>
      <protection hidden="1"/>
    </xf>
    <xf numFmtId="0" fontId="0" fillId="0" borderId="0" xfId="0" applyBorder="1" applyProtection="1">
      <protection hidden="1"/>
    </xf>
    <xf numFmtId="10" fontId="0" fillId="0" borderId="0" xfId="1" applyNumberFormat="1" applyFont="1" applyFill="1" applyBorder="1" applyAlignment="1" applyProtection="1">
      <alignment horizontal="center"/>
      <protection hidden="1"/>
    </xf>
    <xf numFmtId="0" fontId="0" fillId="0" borderId="0" xfId="0" quotePrefix="1" applyAlignment="1" applyProtection="1">
      <alignment horizontal="center"/>
      <protection hidden="1"/>
    </xf>
    <xf numFmtId="0" fontId="0" fillId="0" borderId="0" xfId="0" applyFill="1" applyBorder="1" applyProtection="1">
      <protection hidden="1"/>
    </xf>
    <xf numFmtId="2" fontId="2" fillId="0" borderId="0" xfId="0" applyNumberFormat="1" applyFont="1" applyFill="1" applyAlignment="1" applyProtection="1">
      <alignment horizontal="center"/>
      <protection hidden="1"/>
    </xf>
    <xf numFmtId="2" fontId="2" fillId="0" borderId="1" xfId="0" applyNumberFormat="1" applyFont="1" applyFill="1" applyBorder="1" applyAlignment="1" applyProtection="1">
      <alignment horizontal="center"/>
      <protection hidden="1"/>
    </xf>
    <xf numFmtId="0" fontId="4" fillId="0" borderId="0" xfId="0" applyFont="1" applyAlignment="1" applyProtection="1">
      <alignment horizontal="center"/>
      <protection hidden="1"/>
    </xf>
    <xf numFmtId="0" fontId="5" fillId="0" borderId="0" xfId="0" applyFont="1" applyFill="1" applyAlignment="1" applyProtection="1">
      <alignment horizontal="center" vertical="center"/>
      <protection hidden="1"/>
    </xf>
    <xf numFmtId="0" fontId="6" fillId="0" borderId="0" xfId="0" applyFont="1" applyFill="1" applyAlignment="1" applyProtection="1">
      <alignment vertical="top" wrapText="1"/>
      <protection hidden="1"/>
    </xf>
    <xf numFmtId="0" fontId="8" fillId="0" borderId="0" xfId="0" applyFont="1" applyAlignment="1" applyProtection="1">
      <alignment horizontal="center" vertical="center"/>
      <protection hidden="1"/>
    </xf>
    <xf numFmtId="0" fontId="9" fillId="0" borderId="0" xfId="0" applyFont="1" applyAlignment="1" applyProtection="1">
      <alignment horizontal="center" vertical="center"/>
      <protection hidden="1"/>
    </xf>
    <xf numFmtId="10" fontId="7" fillId="0" borderId="0" xfId="1" applyNumberFormat="1" applyFont="1" applyFill="1" applyBorder="1" applyAlignment="1" applyProtection="1">
      <alignment horizontal="left" vertical="center" wrapText="1"/>
      <protection hidden="1"/>
    </xf>
  </cellXfs>
  <cellStyles count="2">
    <cellStyle name="Normal" xfId="0" builtinId="0"/>
    <cellStyle name="Percent" xfId="1" builtinId="5"/>
  </cellStyles>
  <dxfs count="4">
    <dxf>
      <font>
        <b/>
        <i val="0"/>
        <color rgb="FFFF0000"/>
      </font>
    </dxf>
    <dxf>
      <font>
        <b/>
        <i val="0"/>
        <color rgb="FFFF0000"/>
      </font>
      <fill>
        <patternFill>
          <bgColor theme="0"/>
        </patternFill>
      </fill>
    </dxf>
    <dxf>
      <font>
        <b/>
        <i val="0"/>
        <color rgb="FFFF0000"/>
      </font>
      <fill>
        <patternFill>
          <bgColor theme="0"/>
        </patternFill>
      </fill>
    </dxf>
    <dxf>
      <font>
        <b/>
        <i val="0"/>
        <color rgb="FFFF000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245745</xdr:colOff>
      <xdr:row>6</xdr:row>
      <xdr:rowOff>129540</xdr:rowOff>
    </xdr:from>
    <xdr:ext cx="7945755" cy="7543860"/>
    <xdr:sp macro="" textlink="">
      <xdr:nvSpPr>
        <xdr:cNvPr id="4" name="TextBox 3">
          <a:extLst>
            <a:ext uri="{FF2B5EF4-FFF2-40B4-BE49-F238E27FC236}">
              <a16:creationId xmlns:a16="http://schemas.microsoft.com/office/drawing/2014/main" id="{803083EE-FA53-4594-9D1B-A6040BFF9FAD}"/>
            </a:ext>
          </a:extLst>
        </xdr:cNvPr>
        <xdr:cNvSpPr txBox="1"/>
      </xdr:nvSpPr>
      <xdr:spPr>
        <a:xfrm>
          <a:off x="245745" y="1367790"/>
          <a:ext cx="7945755" cy="75438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i="0" u="none" strike="noStrike">
              <a:solidFill>
                <a:schemeClr val="tx1"/>
              </a:solidFill>
              <a:effectLst/>
              <a:latin typeface="+mn-lt"/>
              <a:ea typeface="+mn-ea"/>
              <a:cs typeface="+mn-cs"/>
            </a:rPr>
            <a:t>Steps to use:</a:t>
          </a:r>
        </a:p>
        <a:p>
          <a:endParaRPr lang="en-US" sz="1400" b="1" i="0" u="none" strike="noStrike">
            <a:solidFill>
              <a:schemeClr val="tx1"/>
            </a:solidFill>
            <a:effectLst/>
            <a:latin typeface="+mn-lt"/>
            <a:ea typeface="+mn-ea"/>
            <a:cs typeface="+mn-cs"/>
          </a:endParaRPr>
        </a:p>
        <a:p>
          <a:r>
            <a:rPr lang="en-US" sz="1400" b="0" i="0" u="none" strike="noStrike">
              <a:solidFill>
                <a:schemeClr val="tx1"/>
              </a:solidFill>
              <a:effectLst/>
              <a:latin typeface="+mn-lt"/>
              <a:ea typeface="+mn-ea"/>
              <a:cs typeface="+mn-cs"/>
            </a:rPr>
            <a:t>1. Select one of the two options:</a:t>
          </a:r>
          <a:endParaRPr lang="en-US" sz="1400"/>
        </a:p>
        <a:p>
          <a:r>
            <a:rPr lang="en-US" sz="1400"/>
            <a:t>	If using the Imperial system on a Net energy basis , go to the </a:t>
          </a:r>
          <a:r>
            <a:rPr lang="en-US" sz="1400" b="1"/>
            <a:t>Imperial - NE </a:t>
          </a:r>
          <a:r>
            <a:rPr lang="en-US" sz="1400"/>
            <a:t>tab.</a:t>
          </a:r>
        </a:p>
        <a:p>
          <a:r>
            <a:rPr lang="en-US" sz="1400"/>
            <a:t>	If using the Metric system on a Net energy basis , go to the </a:t>
          </a:r>
          <a:r>
            <a:rPr lang="en-US" sz="1400" b="1"/>
            <a:t>Metric - NE </a:t>
          </a:r>
          <a:r>
            <a:rPr lang="en-US" sz="1400"/>
            <a:t>tab. </a:t>
          </a:r>
        </a:p>
        <a:p>
          <a:endParaRPr lang="en-US" sz="1400"/>
        </a:p>
        <a:p>
          <a:r>
            <a:rPr lang="en-US" sz="1400" b="0" i="0" u="none" strike="noStrike">
              <a:solidFill>
                <a:schemeClr val="tx1"/>
              </a:solidFill>
              <a:effectLst/>
              <a:latin typeface="+mn-lt"/>
              <a:ea typeface="+mn-ea"/>
              <a:cs typeface="+mn-cs"/>
            </a:rPr>
            <a:t>2. Enter the input parameters in the yellow cells:</a:t>
          </a:r>
          <a:r>
            <a:rPr lang="en-US" sz="1400"/>
            <a:t> </a:t>
          </a:r>
        </a:p>
        <a:p>
          <a:r>
            <a:rPr lang="en-US" sz="1400" b="0" i="0" u="none" strike="noStrike">
              <a:solidFill>
                <a:schemeClr val="tx1"/>
              </a:solidFill>
              <a:effectLst/>
              <a:latin typeface="+mn-lt"/>
              <a:ea typeface="+mn-ea"/>
              <a:cs typeface="+mn-cs"/>
            </a:rPr>
            <a:t>	Enter your desired body weight ranges for each phase </a:t>
          </a:r>
          <a:endParaRPr lang="en-US" sz="1400"/>
        </a:p>
        <a:p>
          <a:r>
            <a:rPr lang="en-US" sz="1400" b="0" i="0" u="none" strike="noStrike">
              <a:solidFill>
                <a:schemeClr val="tx1"/>
              </a:solidFill>
              <a:effectLst/>
              <a:latin typeface="+mn-lt"/>
              <a:ea typeface="+mn-ea"/>
              <a:cs typeface="+mn-cs"/>
            </a:rPr>
            <a:t>	Enter your current dietary energy level for each dietary phase.</a:t>
          </a:r>
          <a:r>
            <a:rPr lang="en-US" sz="1400"/>
            <a:t> 	</a:t>
          </a:r>
        </a:p>
        <a:p>
          <a:endParaRPr lang="en-US" sz="1400" b="1"/>
        </a:p>
        <a:p>
          <a:r>
            <a:rPr lang="en-US" sz="1400" b="1"/>
            <a:t>Outputs:</a:t>
          </a:r>
        </a:p>
        <a:p>
          <a:endParaRPr lang="en-US" sz="1400" b="1"/>
        </a:p>
        <a:p>
          <a:r>
            <a:rPr lang="en-US" sz="1400" b="0" i="0" u="none" strike="noStrike">
              <a:solidFill>
                <a:schemeClr val="tx1"/>
              </a:solidFill>
              <a:effectLst/>
              <a:latin typeface="+mn-lt"/>
              <a:ea typeface="+mn-ea"/>
              <a:cs typeface="+mn-cs"/>
            </a:rPr>
            <a:t>3. The tool outputs the grams of standardized</a:t>
          </a:r>
          <a:r>
            <a:rPr lang="en-US" sz="1400" b="0" i="0" u="none" strike="noStrike" baseline="0">
              <a:solidFill>
                <a:schemeClr val="tx1"/>
              </a:solidFill>
              <a:effectLst/>
              <a:latin typeface="+mn-lt"/>
              <a:ea typeface="+mn-ea"/>
              <a:cs typeface="+mn-cs"/>
            </a:rPr>
            <a:t> ileal digestible (SID) lysine (Lys) required by PIC barrows, gilts, boars, mixed gender with barrows and gilts within each body weight range. </a:t>
          </a:r>
        </a:p>
        <a:p>
          <a:r>
            <a:rPr lang="en-US" sz="1400" b="0" i="0" u="none" strike="noStrike" baseline="0">
              <a:solidFill>
                <a:schemeClr val="tx1"/>
              </a:solidFill>
              <a:effectLst/>
              <a:latin typeface="+mn-lt"/>
              <a:ea typeface="+mn-ea"/>
              <a:cs typeface="+mn-cs"/>
            </a:rPr>
            <a:t>4. If the energy level is entered, the tool outputs the SID Lys required by PIC pigs on a percentage of the diet basis. </a:t>
          </a:r>
        </a:p>
        <a:p>
          <a:r>
            <a:rPr lang="en-US" sz="1400" b="0" i="0" u="none" strike="noStrike" baseline="0">
              <a:solidFill>
                <a:schemeClr val="tx1"/>
              </a:solidFill>
              <a:effectLst/>
              <a:latin typeface="+mn-lt"/>
              <a:ea typeface="+mn-ea"/>
              <a:cs typeface="+mn-cs"/>
            </a:rPr>
            <a:t>Obs.: Use the SID Lys recommendations for boars until 3 to 4 weeks prior to market and then the SID Lys recommendations for barrows if using immunocastrated barrows. </a:t>
          </a:r>
        </a:p>
        <a:p>
          <a:endParaRPr lang="en-US" sz="1400" b="0" i="0" u="none" strike="noStrike" baseline="0">
            <a:solidFill>
              <a:schemeClr val="tx1"/>
            </a:solidFill>
            <a:effectLst/>
            <a:latin typeface="+mn-lt"/>
            <a:ea typeface="+mn-ea"/>
            <a:cs typeface="+mn-cs"/>
          </a:endParaRPr>
        </a:p>
        <a:p>
          <a:r>
            <a:rPr lang="en-US" sz="1400" b="1" i="0" u="none" strike="noStrike" baseline="0">
              <a:solidFill>
                <a:schemeClr val="tx1"/>
              </a:solidFill>
              <a:effectLst/>
              <a:latin typeface="+mn-lt"/>
              <a:ea typeface="+mn-ea"/>
              <a:cs typeface="+mn-cs"/>
            </a:rPr>
            <a:t>Background Information:</a:t>
          </a:r>
        </a:p>
        <a:p>
          <a:endParaRPr lang="en-US" sz="1400" b="1" i="0" u="none" strike="noStrike" baseline="0">
            <a:solidFill>
              <a:schemeClr val="tx1"/>
            </a:solidFill>
            <a:effectLst/>
            <a:latin typeface="+mn-lt"/>
            <a:ea typeface="+mn-ea"/>
            <a:cs typeface="+mn-cs"/>
          </a:endParaRPr>
        </a:p>
        <a:p>
          <a:r>
            <a:rPr lang="en-US" sz="1400" b="0" i="0" u="none" strike="noStrike" baseline="0">
              <a:solidFill>
                <a:schemeClr val="tx1"/>
              </a:solidFill>
              <a:effectLst/>
              <a:latin typeface="+mn-lt"/>
              <a:ea typeface="+mn-ea"/>
              <a:cs typeface="+mn-cs"/>
            </a:rPr>
            <a:t>	A meta-analysis based on 29 trials conducted between 2013 and 2020 under commercial conditions with 48,388 PIC pigs was developed to determine the SID Lys requirement of 11- to 150-kg (or 25- to 330-lb) pigs.</a:t>
          </a:r>
        </a:p>
        <a:p>
          <a:r>
            <a:rPr lang="en-US" sz="1400" b="0" i="0" u="none" strike="noStrike" baseline="0">
              <a:solidFill>
                <a:schemeClr val="tx1"/>
              </a:solidFill>
              <a:effectLst/>
              <a:latin typeface="+mn-lt"/>
              <a:ea typeface="+mn-ea"/>
              <a:cs typeface="+mn-cs"/>
            </a:rPr>
            <a:t>	The model was developed for mixed gender pigs (barrows and gilts) and the requirement of barrows and gilts were estimated based on the expected differences according to the PIC 337 growth curve. </a:t>
          </a:r>
        </a:p>
        <a:p>
          <a:r>
            <a:rPr lang="en-US" sz="1400" b="0" i="0" u="none" strike="noStrike" baseline="0">
              <a:solidFill>
                <a:schemeClr val="tx1"/>
              </a:solidFill>
              <a:effectLst/>
              <a:latin typeface="+mn-lt"/>
              <a:ea typeface="+mn-ea"/>
              <a:cs typeface="+mn-cs"/>
            </a:rPr>
            <a:t>	The requirement estimates represent the average between the requirement for average daily gain (ADG) and feed efficiency (G:F). At these levels, 100% of maximum ADG and 99.4% of maximum G:F is achieved.</a:t>
          </a:r>
        </a:p>
        <a:p>
          <a:r>
            <a:rPr lang="en-US" sz="1400" b="0" i="0" u="none" strike="noStrike" baseline="0">
              <a:solidFill>
                <a:schemeClr val="tx1"/>
              </a:solidFill>
              <a:effectLst/>
              <a:latin typeface="+mn-lt"/>
              <a:ea typeface="+mn-ea"/>
              <a:cs typeface="+mn-cs"/>
            </a:rPr>
            <a:t>	The energy value of ingredients followed NRC (2012) nutrient loadings. The NE to ME ratio from the data included in the meta-analysis ranged from approximately 0.72 to 0.74 (See below).</a:t>
          </a:r>
        </a:p>
        <a:p>
          <a:r>
            <a:rPr lang="en-US" sz="1400" b="0" i="0" u="none" strike="noStrike" baseline="0">
              <a:solidFill>
                <a:schemeClr val="tx1"/>
              </a:solidFill>
              <a:effectLst/>
              <a:latin typeface="+mn-lt"/>
              <a:ea typeface="+mn-ea"/>
              <a:cs typeface="+mn-cs"/>
            </a:rPr>
            <a:t>	</a:t>
          </a:r>
        </a:p>
        <a:p>
          <a:r>
            <a:rPr lang="en-US" sz="1400" b="1" i="0" u="none" strike="noStrike" baseline="0">
              <a:solidFill>
                <a:schemeClr val="tx1"/>
              </a:solidFill>
              <a:effectLst/>
              <a:latin typeface="+mn-lt"/>
              <a:ea typeface="+mn-ea"/>
              <a:cs typeface="+mn-cs"/>
            </a:rPr>
            <a:t>For questions on this tool please contact the PIC Nutrition Team.</a:t>
          </a:r>
          <a:endParaRPr lang="en-US" sz="1400" b="1" i="0" u="none" strike="noStrike">
            <a:solidFill>
              <a:schemeClr val="tx1"/>
            </a:solidFill>
            <a:effectLst/>
            <a:latin typeface="+mn-lt"/>
            <a:ea typeface="+mn-ea"/>
            <a:cs typeface="+mn-cs"/>
          </a:endParaRPr>
        </a:p>
      </xdr:txBody>
    </xdr:sp>
    <xdr:clientData/>
  </xdr:oneCellAnchor>
  <xdr:twoCellAnchor editAs="oneCell">
    <xdr:from>
      <xdr:col>0</xdr:col>
      <xdr:colOff>590550</xdr:colOff>
      <xdr:row>48</xdr:row>
      <xdr:rowOff>123826</xdr:rowOff>
    </xdr:from>
    <xdr:to>
      <xdr:col>11</xdr:col>
      <xdr:colOff>190500</xdr:colOff>
      <xdr:row>68</xdr:row>
      <xdr:rowOff>146574</xdr:rowOff>
    </xdr:to>
    <xdr:pic>
      <xdr:nvPicPr>
        <xdr:cNvPr id="2" name="Picture 1">
          <a:extLst>
            <a:ext uri="{FF2B5EF4-FFF2-40B4-BE49-F238E27FC236}">
              <a16:creationId xmlns:a16="http://schemas.microsoft.com/office/drawing/2014/main" id="{70BDFD1D-FF7E-494F-A761-59C307E4D9C5}"/>
            </a:ext>
          </a:extLst>
        </xdr:cNvPr>
        <xdr:cNvPicPr>
          <a:picLocks noChangeAspect="1"/>
        </xdr:cNvPicPr>
      </xdr:nvPicPr>
      <xdr:blipFill>
        <a:blip xmlns:r="http://schemas.openxmlformats.org/officeDocument/2006/relationships" r:embed="rId1"/>
        <a:stretch>
          <a:fillRect/>
        </a:stretch>
      </xdr:blipFill>
      <xdr:spPr>
        <a:xfrm>
          <a:off x="590550" y="8963026"/>
          <a:ext cx="7229475" cy="3642248"/>
        </a:xfrm>
        <a:prstGeom prst="rect">
          <a:avLst/>
        </a:prstGeom>
      </xdr:spPr>
    </xdr:pic>
    <xdr:clientData/>
  </xdr:twoCellAnchor>
  <xdr:twoCellAnchor editAs="oneCell">
    <xdr:from>
      <xdr:col>0</xdr:col>
      <xdr:colOff>0</xdr:colOff>
      <xdr:row>0</xdr:row>
      <xdr:rowOff>0</xdr:rowOff>
    </xdr:from>
    <xdr:to>
      <xdr:col>11</xdr:col>
      <xdr:colOff>539115</xdr:colOff>
      <xdr:row>6</xdr:row>
      <xdr:rowOff>140192</xdr:rowOff>
    </xdr:to>
    <xdr:pic>
      <xdr:nvPicPr>
        <xdr:cNvPr id="5" name="Picture 4">
          <a:extLst>
            <a:ext uri="{FF2B5EF4-FFF2-40B4-BE49-F238E27FC236}">
              <a16:creationId xmlns:a16="http://schemas.microsoft.com/office/drawing/2014/main" id="{4F1519F8-65AC-4C4C-8477-D7EF5766212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8168640" cy="1378442"/>
        </a:xfrm>
        <a:prstGeom prst="rect">
          <a:avLst/>
        </a:prstGeom>
      </xdr:spPr>
    </xdr:pic>
    <xdr:clientData/>
  </xdr:twoCellAnchor>
  <xdr:twoCellAnchor>
    <xdr:from>
      <xdr:col>0</xdr:col>
      <xdr:colOff>1362075</xdr:colOff>
      <xdr:row>0</xdr:row>
      <xdr:rowOff>0</xdr:rowOff>
    </xdr:from>
    <xdr:to>
      <xdr:col>8</xdr:col>
      <xdr:colOff>419100</xdr:colOff>
      <xdr:row>5</xdr:row>
      <xdr:rowOff>88900</xdr:rowOff>
    </xdr:to>
    <xdr:sp macro="" textlink="">
      <xdr:nvSpPr>
        <xdr:cNvPr id="6" name="TextBox 5">
          <a:extLst>
            <a:ext uri="{FF2B5EF4-FFF2-40B4-BE49-F238E27FC236}">
              <a16:creationId xmlns:a16="http://schemas.microsoft.com/office/drawing/2014/main" id="{96166B50-374E-4227-A5E4-6B4B594F08EA}"/>
            </a:ext>
          </a:extLst>
        </xdr:cNvPr>
        <xdr:cNvSpPr txBox="1"/>
      </xdr:nvSpPr>
      <xdr:spPr>
        <a:xfrm>
          <a:off x="1362075" y="0"/>
          <a:ext cx="4857750" cy="1146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2800" b="1">
              <a:solidFill>
                <a:srgbClr val="225480"/>
              </a:solidFill>
            </a:rPr>
            <a:t>SID</a:t>
          </a:r>
          <a:r>
            <a:rPr lang="en-US" sz="2800" b="1" baseline="0">
              <a:solidFill>
                <a:srgbClr val="225480"/>
              </a:solidFill>
            </a:rPr>
            <a:t> Lysine Biological Requirement for PIC Pigs</a:t>
          </a:r>
          <a:endParaRPr lang="en-US" sz="2800" b="1">
            <a:solidFill>
              <a:srgbClr val="22548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22542</xdr:colOff>
      <xdr:row>1</xdr:row>
      <xdr:rowOff>2714</xdr:rowOff>
    </xdr:to>
    <xdr:pic>
      <xdr:nvPicPr>
        <xdr:cNvPr id="3" name="Picture 2">
          <a:extLst>
            <a:ext uri="{FF2B5EF4-FFF2-40B4-BE49-F238E27FC236}">
              <a16:creationId xmlns:a16="http://schemas.microsoft.com/office/drawing/2014/main" id="{0FF4F35A-55A8-4A7F-BA87-4630F3ED20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170545" cy="1374632"/>
        </a:xfrm>
        <a:prstGeom prst="rect">
          <a:avLst/>
        </a:prstGeom>
      </xdr:spPr>
    </xdr:pic>
    <xdr:clientData/>
  </xdr:twoCellAnchor>
  <xdr:twoCellAnchor>
    <xdr:from>
      <xdr:col>1</xdr:col>
      <xdr:colOff>745172</xdr:colOff>
      <xdr:row>0</xdr:row>
      <xdr:rowOff>0</xdr:rowOff>
    </xdr:from>
    <xdr:to>
      <xdr:col>7</xdr:col>
      <xdr:colOff>588010</xdr:colOff>
      <xdr:row>0</xdr:row>
      <xdr:rowOff>1158875</xdr:rowOff>
    </xdr:to>
    <xdr:sp macro="" textlink="">
      <xdr:nvSpPr>
        <xdr:cNvPr id="4" name="TextBox 3">
          <a:extLst>
            <a:ext uri="{FF2B5EF4-FFF2-40B4-BE49-F238E27FC236}">
              <a16:creationId xmlns:a16="http://schemas.microsoft.com/office/drawing/2014/main" id="{F1EB1EE9-5AD8-4C6B-A833-DD90D9672895}"/>
            </a:ext>
          </a:extLst>
        </xdr:cNvPr>
        <xdr:cNvSpPr txBox="1"/>
      </xdr:nvSpPr>
      <xdr:spPr>
        <a:xfrm>
          <a:off x="1356360" y="0"/>
          <a:ext cx="4867275" cy="1158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2800" b="1">
              <a:solidFill>
                <a:srgbClr val="225480"/>
              </a:solidFill>
            </a:rPr>
            <a:t>SID</a:t>
          </a:r>
          <a:r>
            <a:rPr lang="en-US" sz="2800" b="1" baseline="0">
              <a:solidFill>
                <a:srgbClr val="225480"/>
              </a:solidFill>
            </a:rPr>
            <a:t> Lysine Biological Requirement for PIC Pigs</a:t>
          </a:r>
          <a:r>
            <a:rPr lang="el-GR" sz="2800" b="1" baseline="30000">
              <a:solidFill>
                <a:srgbClr val="225480"/>
              </a:solidFill>
            </a:rPr>
            <a:t>α</a:t>
          </a:r>
          <a:endParaRPr lang="en-US" sz="2800" b="1" baseline="30000">
            <a:solidFill>
              <a:srgbClr val="22548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18732</xdr:colOff>
      <xdr:row>0</xdr:row>
      <xdr:rowOff>1393682</xdr:rowOff>
    </xdr:to>
    <xdr:pic>
      <xdr:nvPicPr>
        <xdr:cNvPr id="3" name="Picture 2">
          <a:extLst>
            <a:ext uri="{FF2B5EF4-FFF2-40B4-BE49-F238E27FC236}">
              <a16:creationId xmlns:a16="http://schemas.microsoft.com/office/drawing/2014/main" id="{9C4159D3-0E47-4B19-8824-D9AD04547F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170545" cy="1391777"/>
        </a:xfrm>
        <a:prstGeom prst="rect">
          <a:avLst/>
        </a:prstGeom>
      </xdr:spPr>
    </xdr:pic>
    <xdr:clientData/>
  </xdr:twoCellAnchor>
  <xdr:twoCellAnchor>
    <xdr:from>
      <xdr:col>1</xdr:col>
      <xdr:colOff>741362</xdr:colOff>
      <xdr:row>0</xdr:row>
      <xdr:rowOff>0</xdr:rowOff>
    </xdr:from>
    <xdr:to>
      <xdr:col>7</xdr:col>
      <xdr:colOff>591820</xdr:colOff>
      <xdr:row>0</xdr:row>
      <xdr:rowOff>1162685</xdr:rowOff>
    </xdr:to>
    <xdr:sp macro="" textlink="">
      <xdr:nvSpPr>
        <xdr:cNvPr id="4" name="TextBox 3">
          <a:extLst>
            <a:ext uri="{FF2B5EF4-FFF2-40B4-BE49-F238E27FC236}">
              <a16:creationId xmlns:a16="http://schemas.microsoft.com/office/drawing/2014/main" id="{58DD8B9F-2703-4859-9D90-C2C4B61B7930}"/>
            </a:ext>
          </a:extLst>
        </xdr:cNvPr>
        <xdr:cNvSpPr txBox="1"/>
      </xdr:nvSpPr>
      <xdr:spPr>
        <a:xfrm>
          <a:off x="1352550" y="0"/>
          <a:ext cx="4874895" cy="1162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2800" b="1">
              <a:solidFill>
                <a:srgbClr val="225480"/>
              </a:solidFill>
            </a:rPr>
            <a:t>SID</a:t>
          </a:r>
          <a:r>
            <a:rPr lang="en-US" sz="2800" b="1" baseline="0">
              <a:solidFill>
                <a:srgbClr val="225480"/>
              </a:solidFill>
            </a:rPr>
            <a:t> Lysine Biological Requirement for PIC Pigs</a:t>
          </a:r>
          <a:r>
            <a:rPr lang="el-GR" sz="2800" b="1" strike="noStrike" baseline="30000">
              <a:solidFill>
                <a:srgbClr val="225480"/>
              </a:solidFill>
            </a:rPr>
            <a:t>α</a:t>
          </a:r>
          <a:endParaRPr lang="en-US" sz="2800" b="1" strike="noStrike" baseline="30000">
            <a:solidFill>
              <a:srgbClr val="22548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5"/>
  <sheetViews>
    <sheetView showGridLines="0" showRowColHeaders="0" tabSelected="1" zoomScaleNormal="100" workbookViewId="0">
      <selection activeCell="O18" sqref="O18"/>
    </sheetView>
  </sheetViews>
  <sheetFormatPr defaultRowHeight="15" x14ac:dyDescent="0.25"/>
  <cols>
    <col min="1" max="1" width="22.28515625" bestFit="1" customWidth="1"/>
    <col min="2" max="6" width="8.85546875" style="1"/>
  </cols>
  <sheetData>
    <row r="1" spans="2:6" s="6" customFormat="1" ht="24" customHeight="1" x14ac:dyDescent="0.25">
      <c r="B1" s="5"/>
      <c r="C1" s="5"/>
      <c r="D1" s="5"/>
      <c r="E1" s="5"/>
      <c r="F1" s="5"/>
    </row>
    <row r="2" spans="2:6" s="6" customFormat="1" ht="24" customHeight="1" x14ac:dyDescent="0.25">
      <c r="B2" s="5"/>
      <c r="C2" s="5"/>
      <c r="D2" s="5"/>
      <c r="E2" s="5"/>
      <c r="F2" s="5"/>
    </row>
    <row r="3" spans="2:6" s="6" customFormat="1" ht="10.15" customHeight="1" x14ac:dyDescent="0.25">
      <c r="B3" s="5"/>
      <c r="C3" s="5"/>
      <c r="D3" s="5"/>
      <c r="E3" s="5"/>
      <c r="F3" s="5"/>
    </row>
    <row r="4" spans="2:6" s="6" customFormat="1" ht="10.15" customHeight="1" x14ac:dyDescent="0.25">
      <c r="B4" s="5"/>
      <c r="C4" s="5"/>
      <c r="D4" s="5"/>
      <c r="E4" s="5"/>
      <c r="F4" s="5"/>
    </row>
    <row r="5" spans="2:6" x14ac:dyDescent="0.25">
      <c r="B5" s="3"/>
    </row>
  </sheetData>
  <sheetProtection algorithmName="SHA-512" hashValue="SNL7C1UfJVrNQfABX1tZPqxUdx+xQp9vMncoeEJvfgD9uw+cq3nBW6bscl4dAx9ZrAaM+6Gd0hz4elaqlGgCyQ==" saltValue="r7hTxeqkmw2E2FWDwaxXWA=="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C24DA-8684-439F-BD6E-31D36463248E}">
  <dimension ref="B1:J42"/>
  <sheetViews>
    <sheetView showGridLines="0" showRowColHeaders="0" zoomScaleNormal="100" workbookViewId="0">
      <selection activeCell="C31" sqref="C31:J31"/>
    </sheetView>
  </sheetViews>
  <sheetFormatPr defaultColWidth="8.85546875" defaultRowHeight="15" x14ac:dyDescent="0.25"/>
  <cols>
    <col min="1" max="1" width="8.85546875" style="11"/>
    <col min="2" max="2" width="27" style="11" customWidth="1"/>
    <col min="3" max="7" width="9.28515625" style="10" customWidth="1"/>
    <col min="8" max="10" width="9.28515625" style="11" customWidth="1"/>
    <col min="11" max="16384" width="8.85546875" style="11"/>
  </cols>
  <sheetData>
    <row r="1" spans="2:10" s="7" customFormat="1" ht="109.9" customHeight="1" x14ac:dyDescent="0.25">
      <c r="C1" s="8"/>
      <c r="D1" s="8"/>
      <c r="E1" s="8"/>
      <c r="F1" s="8"/>
      <c r="G1" s="8"/>
    </row>
    <row r="2" spans="2:10" x14ac:dyDescent="0.25">
      <c r="B2" s="9"/>
      <c r="H2" s="10"/>
    </row>
    <row r="3" spans="2:10" x14ac:dyDescent="0.25">
      <c r="B3" s="9" t="s">
        <v>5</v>
      </c>
      <c r="C3" s="2">
        <v>1100</v>
      </c>
      <c r="D3" s="2">
        <v>1100</v>
      </c>
      <c r="E3" s="2"/>
      <c r="F3" s="2"/>
      <c r="G3" s="2"/>
      <c r="H3" s="2"/>
      <c r="I3" s="2"/>
      <c r="J3" s="2"/>
    </row>
    <row r="4" spans="2:10" s="12" customFormat="1" ht="15.75" x14ac:dyDescent="0.25">
      <c r="C4" s="23" t="str">
        <f t="shared" ref="C4:J4" si="0">IF(C23&lt;C22,"!", " ")</f>
        <v xml:space="preserve"> </v>
      </c>
      <c r="D4" s="23" t="str">
        <f t="shared" si="0"/>
        <v xml:space="preserve"> </v>
      </c>
      <c r="E4" s="23" t="str">
        <f t="shared" si="0"/>
        <v xml:space="preserve"> </v>
      </c>
      <c r="F4" s="23" t="str">
        <f t="shared" si="0"/>
        <v xml:space="preserve"> </v>
      </c>
      <c r="G4" s="23" t="str">
        <f t="shared" si="0"/>
        <v xml:space="preserve"> </v>
      </c>
      <c r="H4" s="23" t="str">
        <f t="shared" si="0"/>
        <v xml:space="preserve"> </v>
      </c>
      <c r="I4" s="23" t="str">
        <f t="shared" si="0"/>
        <v xml:space="preserve"> </v>
      </c>
      <c r="J4" s="23" t="str">
        <f t="shared" si="0"/>
        <v xml:space="preserve"> </v>
      </c>
    </row>
    <row r="5" spans="2:10" x14ac:dyDescent="0.25">
      <c r="B5" s="9" t="s">
        <v>3</v>
      </c>
      <c r="C5" s="2">
        <f>60*2.204622</f>
        <v>132.27732</v>
      </c>
      <c r="D5" s="2">
        <v>200</v>
      </c>
      <c r="E5" s="2"/>
      <c r="F5" s="2"/>
      <c r="G5" s="2"/>
      <c r="H5" s="2"/>
      <c r="I5" s="2"/>
      <c r="J5" s="2"/>
    </row>
    <row r="6" spans="2:10" x14ac:dyDescent="0.25">
      <c r="B6" s="9" t="s">
        <v>2</v>
      </c>
      <c r="C6" s="2">
        <v>132</v>
      </c>
      <c r="D6" s="2">
        <v>300</v>
      </c>
      <c r="E6" s="2"/>
      <c r="F6" s="2"/>
      <c r="G6" s="2"/>
      <c r="H6" s="2"/>
      <c r="I6" s="2"/>
      <c r="J6" s="2"/>
    </row>
    <row r="7" spans="2:10" x14ac:dyDescent="0.25">
      <c r="H7" s="10"/>
    </row>
    <row r="8" spans="2:10" hidden="1" x14ac:dyDescent="0.25">
      <c r="B8" s="11" t="s">
        <v>3</v>
      </c>
      <c r="C8" s="13">
        <f>IF(C5="","",C5)</f>
        <v>132.27732</v>
      </c>
      <c r="D8" s="13">
        <f t="shared" ref="D8:J8" si="1">IF(D5="","",D5)</f>
        <v>200</v>
      </c>
      <c r="E8" s="13" t="str">
        <f t="shared" ref="E8:F8" si="2">IF(E5="","",E5)</f>
        <v/>
      </c>
      <c r="F8" s="13" t="str">
        <f t="shared" si="2"/>
        <v/>
      </c>
      <c r="G8" s="13" t="str">
        <f t="shared" si="1"/>
        <v/>
      </c>
      <c r="H8" s="13" t="str">
        <f t="shared" si="1"/>
        <v/>
      </c>
      <c r="I8" s="13" t="str">
        <f t="shared" si="1"/>
        <v/>
      </c>
      <c r="J8" s="13" t="str">
        <f t="shared" si="1"/>
        <v/>
      </c>
    </row>
    <row r="9" spans="2:10" hidden="1" x14ac:dyDescent="0.25">
      <c r="B9" s="11" t="s">
        <v>2</v>
      </c>
      <c r="C9" s="13">
        <f>IF(C6="","",C6)</f>
        <v>132</v>
      </c>
      <c r="D9" s="13">
        <f t="shared" ref="D9:J9" si="3">IF(D6="","",D6)</f>
        <v>300</v>
      </c>
      <c r="E9" s="13" t="str">
        <f t="shared" ref="E9:F9" si="4">IF(E6="","",E6)</f>
        <v/>
      </c>
      <c r="F9" s="13" t="str">
        <f t="shared" si="4"/>
        <v/>
      </c>
      <c r="G9" s="13" t="str">
        <f t="shared" si="3"/>
        <v/>
      </c>
      <c r="H9" s="13" t="str">
        <f t="shared" si="3"/>
        <v/>
      </c>
      <c r="I9" s="13" t="str">
        <f t="shared" si="3"/>
        <v/>
      </c>
      <c r="J9" s="13" t="str">
        <f t="shared" si="3"/>
        <v/>
      </c>
    </row>
    <row r="10" spans="2:10" hidden="1" x14ac:dyDescent="0.25">
      <c r="C10" s="14">
        <f>IFERROR(IF(C8&gt;0,AVERAGE(C8:C9),""),"")</f>
        <v>132.13866000000002</v>
      </c>
      <c r="D10" s="14">
        <f t="shared" ref="D10:J10" si="5">IFERROR(IF(D8&gt;0,AVERAGE(D8:D9),""),"")</f>
        <v>250</v>
      </c>
      <c r="E10" s="14" t="str">
        <f t="shared" si="5"/>
        <v/>
      </c>
      <c r="F10" s="14" t="str">
        <f t="shared" si="5"/>
        <v/>
      </c>
      <c r="G10" s="14" t="str">
        <f t="shared" si="5"/>
        <v/>
      </c>
      <c r="H10" s="14" t="str">
        <f t="shared" si="5"/>
        <v/>
      </c>
      <c r="I10" s="14" t="str">
        <f t="shared" si="5"/>
        <v/>
      </c>
      <c r="J10" s="14" t="str">
        <f t="shared" si="5"/>
        <v/>
      </c>
    </row>
    <row r="11" spans="2:10" hidden="1" x14ac:dyDescent="0.25">
      <c r="C11" s="14"/>
      <c r="D11" s="14"/>
      <c r="E11" s="14"/>
      <c r="F11" s="14"/>
      <c r="G11" s="15"/>
      <c r="H11" s="16"/>
      <c r="J11" s="17"/>
    </row>
    <row r="12" spans="2:10" hidden="1" x14ac:dyDescent="0.25">
      <c r="B12" s="11" t="s">
        <v>0</v>
      </c>
      <c r="C12" s="13">
        <f>IF(C5&gt;0,CONVERT(C5/1000,"lbm","g")," ")</f>
        <v>59.999983076048402</v>
      </c>
      <c r="D12" s="13">
        <f t="shared" ref="D12:J13" si="6">IF(D5&gt;0,CONVERT(D5/1000,"lbm","g")," ")</f>
        <v>90.718474000000015</v>
      </c>
      <c r="E12" s="13" t="str">
        <f t="shared" si="6"/>
        <v xml:space="preserve"> </v>
      </c>
      <c r="F12" s="13" t="str">
        <f t="shared" si="6"/>
        <v xml:space="preserve"> </v>
      </c>
      <c r="G12" s="13" t="str">
        <f t="shared" si="6"/>
        <v xml:space="preserve"> </v>
      </c>
      <c r="H12" s="13" t="str">
        <f t="shared" si="6"/>
        <v xml:space="preserve"> </v>
      </c>
      <c r="I12" s="13" t="str">
        <f t="shared" si="6"/>
        <v xml:space="preserve"> </v>
      </c>
      <c r="J12" s="13" t="str">
        <f t="shared" si="6"/>
        <v xml:space="preserve"> </v>
      </c>
    </row>
    <row r="13" spans="2:10" hidden="1" x14ac:dyDescent="0.25">
      <c r="B13" s="11" t="s">
        <v>1</v>
      </c>
      <c r="C13" s="13">
        <f>IF(C6&gt;0,CONVERT(C6/1000,"lbm","g")," ")</f>
        <v>59.874192840000006</v>
      </c>
      <c r="D13" s="13">
        <f t="shared" si="6"/>
        <v>136.07771099999999</v>
      </c>
      <c r="E13" s="13" t="str">
        <f t="shared" si="6"/>
        <v xml:space="preserve"> </v>
      </c>
      <c r="F13" s="13" t="str">
        <f t="shared" si="6"/>
        <v xml:space="preserve"> </v>
      </c>
      <c r="G13" s="13" t="str">
        <f t="shared" si="6"/>
        <v xml:space="preserve"> </v>
      </c>
      <c r="H13" s="13" t="str">
        <f t="shared" si="6"/>
        <v xml:space="preserve"> </v>
      </c>
      <c r="I13" s="13" t="str">
        <f t="shared" si="6"/>
        <v xml:space="preserve"> </v>
      </c>
      <c r="J13" s="13" t="str">
        <f t="shared" si="6"/>
        <v xml:space="preserve"> </v>
      </c>
    </row>
    <row r="14" spans="2:10" hidden="1" x14ac:dyDescent="0.25">
      <c r="C14" s="14">
        <f>IFERROR(IF(C12&gt;0,AVERAGE(C12:C13),""),"")</f>
        <v>59.937087958024208</v>
      </c>
      <c r="D14" s="14">
        <f t="shared" ref="D14:J14" si="7">IFERROR(IF(D12&gt;0,AVERAGE(D12:D13),""),"")</f>
        <v>113.3980925</v>
      </c>
      <c r="E14" s="14" t="str">
        <f t="shared" si="7"/>
        <v/>
      </c>
      <c r="F14" s="14" t="str">
        <f t="shared" si="7"/>
        <v/>
      </c>
      <c r="G14" s="14" t="str">
        <f t="shared" si="7"/>
        <v/>
      </c>
      <c r="H14" s="14" t="str">
        <f t="shared" si="7"/>
        <v/>
      </c>
      <c r="I14" s="14" t="str">
        <f t="shared" si="7"/>
        <v/>
      </c>
      <c r="J14" s="14" t="str">
        <f t="shared" si="7"/>
        <v/>
      </c>
    </row>
    <row r="15" spans="2:10" hidden="1" x14ac:dyDescent="0.25">
      <c r="C15" s="14"/>
      <c r="D15" s="14"/>
      <c r="E15" s="14"/>
      <c r="F15" s="14"/>
      <c r="G15" s="15"/>
      <c r="H15" s="16"/>
      <c r="J15" s="17"/>
    </row>
    <row r="16" spans="2:10" x14ac:dyDescent="0.25">
      <c r="B16" s="9" t="s">
        <v>13</v>
      </c>
      <c r="G16" s="16"/>
      <c r="H16" s="16"/>
      <c r="J16" s="17"/>
    </row>
    <row r="17" spans="2:10" x14ac:dyDescent="0.25">
      <c r="B17" s="11" t="s">
        <v>7</v>
      </c>
      <c r="C17" s="4">
        <f>IFERROR(IF(AND(C5&gt;0,C14&lt;40),C21,C21+(-(-0.0000000031*C14^4+0.0000013234*C14^3-0.0002087068*C14^2+0.0142221655*C14-0.3126825057)*C21)),"")</f>
        <v>3.6812429357517868</v>
      </c>
      <c r="D17" s="4">
        <f>IFERROR(IF(AND(D5&gt;0,D14&lt;40),D21,D21+(-(-0.0000000031*D14^4+0.0000013234*D14^3-0.0002087068*D14^2+0.0142221655*D14-0.3126825057)*D21)),"")</f>
        <v>2.6677806171622707</v>
      </c>
      <c r="E17" s="4" t="str">
        <f t="shared" ref="E17:J17" si="8">IFERROR(IF(AND(E5&gt;0,E14&lt;40),E21,E21+(-(-0.0000000031*E14^4+0.0000013234*E14^3-0.0002087068*E14^2+0.0142221655*E14-0.3126825057)*E21)),"")</f>
        <v/>
      </c>
      <c r="F17" s="4" t="str">
        <f t="shared" si="8"/>
        <v/>
      </c>
      <c r="G17" s="4" t="str">
        <f t="shared" si="8"/>
        <v/>
      </c>
      <c r="H17" s="4" t="str">
        <f t="shared" si="8"/>
        <v/>
      </c>
      <c r="I17" s="4" t="str">
        <f t="shared" si="8"/>
        <v/>
      </c>
      <c r="J17" s="4" t="str">
        <f t="shared" si="8"/>
        <v/>
      </c>
    </row>
    <row r="18" spans="2:10" x14ac:dyDescent="0.25">
      <c r="B18" s="11" t="s">
        <v>8</v>
      </c>
      <c r="C18" s="4">
        <f>IFERROR(IF(AND(C5&gt;0,C14&lt;40),C21,C21+((-0.0000000031*C14^4+0.0000013234*C14^3-0.0002087068*C14^2+0.0142221655*C14-0.3126825057)*C21)),"")</f>
        <v>3.9477336966016323</v>
      </c>
      <c r="D18" s="4">
        <f t="shared" ref="D18:J18" si="9">IFERROR(IF(AND(D5&gt;0,D14&lt;40),D21,D21+((-0.0000000031*D14^4+0.0000013234*D14^3-0.0002087068*D14^2+0.0142221655*D14-0.3126825057)*D21)),"")</f>
        <v>2.8525572730377289</v>
      </c>
      <c r="E18" s="4" t="str">
        <f t="shared" si="9"/>
        <v/>
      </c>
      <c r="F18" s="4" t="str">
        <f t="shared" si="9"/>
        <v/>
      </c>
      <c r="G18" s="4" t="str">
        <f t="shared" si="9"/>
        <v/>
      </c>
      <c r="H18" s="4" t="str">
        <f t="shared" si="9"/>
        <v/>
      </c>
      <c r="I18" s="4" t="str">
        <f t="shared" si="9"/>
        <v/>
      </c>
      <c r="J18" s="4" t="str">
        <f t="shared" si="9"/>
        <v/>
      </c>
    </row>
    <row r="19" spans="2:10" s="7" customFormat="1" x14ac:dyDescent="0.25">
      <c r="B19" s="11" t="str">
        <f>IF(B38="**","     Gilts development **","     Gilts development " )</f>
        <v xml:space="preserve">     Gilts development **</v>
      </c>
      <c r="C19" s="22">
        <f>IFERROR(IF(C5&gt;=200,2.51,(C18*0.97))," ")</f>
        <v>3.8293016857035833</v>
      </c>
      <c r="D19" s="22">
        <f t="shared" ref="D19:J19" si="10">IFERROR(IF(D5&gt;=200,2.51,(D18*0.97))," ")</f>
        <v>2.5099999999999998</v>
      </c>
      <c r="E19" s="22" t="str">
        <f t="shared" si="10"/>
        <v xml:space="preserve"> </v>
      </c>
      <c r="F19" s="22" t="str">
        <f t="shared" si="10"/>
        <v xml:space="preserve"> </v>
      </c>
      <c r="G19" s="22" t="str">
        <f t="shared" si="10"/>
        <v xml:space="preserve"> </v>
      </c>
      <c r="H19" s="22" t="str">
        <f t="shared" si="10"/>
        <v xml:space="preserve"> </v>
      </c>
      <c r="I19" s="22" t="str">
        <f t="shared" si="10"/>
        <v xml:space="preserve"> </v>
      </c>
      <c r="J19" s="22" t="str">
        <f t="shared" si="10"/>
        <v xml:space="preserve"> </v>
      </c>
    </row>
    <row r="20" spans="2:10" x14ac:dyDescent="0.25">
      <c r="B20" s="11" t="s">
        <v>9</v>
      </c>
      <c r="C20" s="4">
        <f>IF(C5&gt;0,(IF((C17)*(0.0023*(C14)+0.9644)&lt;C18,C18,(C17)*(0.0023*(C14)+0.9644)))," ")</f>
        <v>4.0576695449995466</v>
      </c>
      <c r="D20" s="4">
        <f t="shared" ref="D20:J20" si="11">IF(D5&gt;0,(IF((D17)*(0.0023*(D14)+0.9644)&lt;D18,D18,(D17)*(0.0023*(D14)+0.9644)))," ")</f>
        <v>3.2686064635390446</v>
      </c>
      <c r="E20" s="4" t="str">
        <f t="shared" si="11"/>
        <v xml:space="preserve"> </v>
      </c>
      <c r="F20" s="4" t="str">
        <f t="shared" si="11"/>
        <v xml:space="preserve"> </v>
      </c>
      <c r="G20" s="4" t="str">
        <f t="shared" si="11"/>
        <v xml:space="preserve"> </v>
      </c>
      <c r="H20" s="4" t="str">
        <f t="shared" si="11"/>
        <v xml:space="preserve"> </v>
      </c>
      <c r="I20" s="4" t="str">
        <f t="shared" si="11"/>
        <v xml:space="preserve"> </v>
      </c>
      <c r="J20" s="4" t="str">
        <f t="shared" si="11"/>
        <v xml:space="preserve"> </v>
      </c>
    </row>
    <row r="21" spans="2:10" x14ac:dyDescent="0.25">
      <c r="B21" s="11" t="s">
        <v>10</v>
      </c>
      <c r="C21" s="4">
        <f>IF(C23&gt;C22,C23,C22)</f>
        <v>3.8144883161767096</v>
      </c>
      <c r="D21" s="4">
        <f t="shared" ref="D21:J21" si="12">IF(D23&gt;D22,D23,D22)</f>
        <v>2.7601689450999998</v>
      </c>
      <c r="E21" s="4" t="str">
        <f t="shared" si="12"/>
        <v xml:space="preserve"> </v>
      </c>
      <c r="F21" s="4" t="str">
        <f t="shared" si="12"/>
        <v xml:space="preserve"> </v>
      </c>
      <c r="G21" s="4" t="str">
        <f t="shared" si="12"/>
        <v xml:space="preserve"> </v>
      </c>
      <c r="H21" s="4" t="str">
        <f t="shared" si="12"/>
        <v xml:space="preserve"> </v>
      </c>
      <c r="I21" s="4" t="str">
        <f t="shared" si="12"/>
        <v xml:space="preserve"> </v>
      </c>
      <c r="J21" s="4" t="str">
        <f t="shared" si="12"/>
        <v xml:space="preserve"> </v>
      </c>
    </row>
    <row r="22" spans="2:10" hidden="1" x14ac:dyDescent="0.25">
      <c r="B22" s="11" t="s">
        <v>14</v>
      </c>
      <c r="C22" s="21">
        <f>IF(C5&gt;0,(0.0000327185*(C8^2) - 0.0214484253*(C8) +6.0773690201)*0.85," ")</f>
        <v>3.2408067860865328</v>
      </c>
      <c r="D22" s="21">
        <f t="shared" ref="D22:J22" si="13">IF(D5&gt;0,(0.0000327185*(D8^2) - 0.0214484253*(D8) +6.0773690201)*0.85," ")</f>
        <v>2.6319603660849999</v>
      </c>
      <c r="E22" s="21" t="str">
        <f t="shared" si="13"/>
        <v xml:space="preserve"> </v>
      </c>
      <c r="F22" s="21" t="str">
        <f t="shared" si="13"/>
        <v xml:space="preserve"> </v>
      </c>
      <c r="G22" s="21" t="str">
        <f t="shared" si="13"/>
        <v xml:space="preserve"> </v>
      </c>
      <c r="H22" s="21" t="str">
        <f t="shared" si="13"/>
        <v xml:space="preserve"> </v>
      </c>
      <c r="I22" s="21" t="str">
        <f t="shared" si="13"/>
        <v xml:space="preserve"> </v>
      </c>
      <c r="J22" s="21" t="str">
        <f t="shared" si="13"/>
        <v xml:space="preserve"> </v>
      </c>
    </row>
    <row r="23" spans="2:10" hidden="1" x14ac:dyDescent="0.25">
      <c r="B23" s="11" t="s">
        <v>15</v>
      </c>
      <c r="C23" s="21">
        <f>IF(C5&gt;0,(0.0000327185*(C10^2) - 0.0214484253*(C10) +6.0773690201)," ")</f>
        <v>3.8144883161767096</v>
      </c>
      <c r="D23" s="21">
        <f t="shared" ref="D23:J23" si="14">IF(D5&gt;0,(0.0000327185*(D10^2) - 0.0214484253*(D10) +6.0773690201)," ")</f>
        <v>2.7601689450999998</v>
      </c>
      <c r="E23" s="21" t="str">
        <f t="shared" si="14"/>
        <v xml:space="preserve"> </v>
      </c>
      <c r="F23" s="21" t="str">
        <f t="shared" si="14"/>
        <v xml:space="preserve"> </v>
      </c>
      <c r="G23" s="21" t="str">
        <f t="shared" si="14"/>
        <v xml:space="preserve"> </v>
      </c>
      <c r="H23" s="21" t="str">
        <f t="shared" si="14"/>
        <v xml:space="preserve"> </v>
      </c>
      <c r="I23" s="21" t="str">
        <f t="shared" si="14"/>
        <v xml:space="preserve"> </v>
      </c>
      <c r="J23" s="21" t="str">
        <f t="shared" si="14"/>
        <v xml:space="preserve"> </v>
      </c>
    </row>
    <row r="25" spans="2:10" x14ac:dyDescent="0.25">
      <c r="B25" s="9" t="s">
        <v>12</v>
      </c>
      <c r="G25" s="16"/>
      <c r="H25" s="16"/>
      <c r="J25" s="17"/>
    </row>
    <row r="26" spans="2:10" x14ac:dyDescent="0.25">
      <c r="B26" s="11" t="s">
        <v>7</v>
      </c>
      <c r="C26" s="4">
        <f>IF(C$3&gt;0,(C17*(C$3*2.204622)/10000)," ")</f>
        <v>0.89273240798532749</v>
      </c>
      <c r="D26" s="4">
        <f t="shared" ref="D26:J26" si="15">IF(D$3&gt;0,(D17*(D$3*2.204622)/10000)," ")</f>
        <v>0.64695926237464718</v>
      </c>
      <c r="E26" s="4" t="str">
        <f t="shared" si="15"/>
        <v xml:space="preserve"> </v>
      </c>
      <c r="F26" s="4" t="str">
        <f t="shared" si="15"/>
        <v xml:space="preserve"> </v>
      </c>
      <c r="G26" s="4" t="str">
        <f>IF(G$3&gt;0,(G17*(G$3*2.204622)/10000)," ")</f>
        <v xml:space="preserve"> </v>
      </c>
      <c r="H26" s="4" t="str">
        <f t="shared" si="15"/>
        <v xml:space="preserve"> </v>
      </c>
      <c r="I26" s="4" t="str">
        <f t="shared" si="15"/>
        <v xml:space="preserve"> </v>
      </c>
      <c r="J26" s="4" t="str">
        <f t="shared" si="15"/>
        <v xml:space="preserve"> </v>
      </c>
    </row>
    <row r="27" spans="2:10" x14ac:dyDescent="0.25">
      <c r="B27" s="11" t="s">
        <v>8</v>
      </c>
      <c r="C27" s="4">
        <f>IF(C$3&gt;0,(C18*(C$3*2.204622)/10000)," ")</f>
        <v>0.95735866134362135</v>
      </c>
      <c r="D27" s="4">
        <f t="shared" ref="D27:J27" si="16">IF(D$3&gt;0,(D18*(D$3*2.204622)/10000)," ")</f>
        <v>0.69176915724388832</v>
      </c>
      <c r="E27" s="4" t="str">
        <f t="shared" si="16"/>
        <v xml:space="preserve"> </v>
      </c>
      <c r="F27" s="4" t="str">
        <f t="shared" si="16"/>
        <v xml:space="preserve"> </v>
      </c>
      <c r="G27" s="4" t="str">
        <f t="shared" si="16"/>
        <v xml:space="preserve"> </v>
      </c>
      <c r="H27" s="4" t="str">
        <f t="shared" si="16"/>
        <v xml:space="preserve"> </v>
      </c>
      <c r="I27" s="4" t="str">
        <f t="shared" si="16"/>
        <v xml:space="preserve"> </v>
      </c>
      <c r="J27" s="4" t="str">
        <f t="shared" si="16"/>
        <v xml:space="preserve"> </v>
      </c>
    </row>
    <row r="28" spans="2:10" s="7" customFormat="1" x14ac:dyDescent="0.25">
      <c r="B28" s="11" t="str">
        <f>IF(B38="**","     Gilts development **","     Gilts development " )</f>
        <v xml:space="preserve">     Gilts development **</v>
      </c>
      <c r="C28" s="22">
        <f>IF(C$3&gt;0,(C19*(C$3*2.204622)/10000)," ")</f>
        <v>0.9286379015033126</v>
      </c>
      <c r="D28" s="22">
        <f t="shared" ref="D28:J28" si="17">IF(D$3&gt;0,(D19*(D$3*2.204622)/10000)," ")</f>
        <v>0.60869613420000002</v>
      </c>
      <c r="E28" s="22" t="str">
        <f t="shared" si="17"/>
        <v xml:space="preserve"> </v>
      </c>
      <c r="F28" s="22" t="str">
        <f t="shared" si="17"/>
        <v xml:space="preserve"> </v>
      </c>
      <c r="G28" s="22" t="str">
        <f t="shared" si="17"/>
        <v xml:space="preserve"> </v>
      </c>
      <c r="H28" s="22" t="str">
        <f t="shared" si="17"/>
        <v xml:space="preserve"> </v>
      </c>
      <c r="I28" s="22" t="str">
        <f t="shared" si="17"/>
        <v xml:space="preserve"> </v>
      </c>
      <c r="J28" s="22" t="str">
        <f t="shared" si="17"/>
        <v xml:space="preserve"> </v>
      </c>
    </row>
    <row r="29" spans="2:10" x14ac:dyDescent="0.25">
      <c r="B29" s="11" t="s">
        <v>9</v>
      </c>
      <c r="C29" s="4">
        <f>IF(C$3&gt;0,(C20*(C$3*2.204622)/10000)," ")</f>
        <v>0.98401903023995907</v>
      </c>
      <c r="D29" s="4">
        <f t="shared" ref="D29:J29" si="18">IF(D$3&gt;0,(D20*(D$3*2.204622)/10000)," ")</f>
        <v>0.79266458907464143</v>
      </c>
      <c r="E29" s="4" t="str">
        <f t="shared" si="18"/>
        <v xml:space="preserve"> </v>
      </c>
      <c r="F29" s="4" t="str">
        <f t="shared" si="18"/>
        <v xml:space="preserve"> </v>
      </c>
      <c r="G29" s="4" t="str">
        <f t="shared" si="18"/>
        <v xml:space="preserve"> </v>
      </c>
      <c r="H29" s="4" t="str">
        <f t="shared" si="18"/>
        <v xml:space="preserve"> </v>
      </c>
      <c r="I29" s="4" t="str">
        <f t="shared" si="18"/>
        <v xml:space="preserve"> </v>
      </c>
      <c r="J29" s="4" t="str">
        <f t="shared" si="18"/>
        <v xml:space="preserve"> </v>
      </c>
    </row>
    <row r="30" spans="2:10" x14ac:dyDescent="0.25">
      <c r="B30" s="11" t="s">
        <v>10</v>
      </c>
      <c r="C30" s="4">
        <f>IF(C$3&gt;0,(C21*(C$3*2.204622)/10000)," ")</f>
        <v>0.92504553466447437</v>
      </c>
      <c r="D30" s="4">
        <f t="shared" ref="D30:J30" si="19">IF(D$3&gt;0,(D21*(D$3*2.204622)/10000)," ")</f>
        <v>0.66936420980926781</v>
      </c>
      <c r="E30" s="4" t="str">
        <f t="shared" si="19"/>
        <v xml:space="preserve"> </v>
      </c>
      <c r="F30" s="4" t="str">
        <f t="shared" si="19"/>
        <v xml:space="preserve"> </v>
      </c>
      <c r="G30" s="4" t="str">
        <f t="shared" si="19"/>
        <v xml:space="preserve"> </v>
      </c>
      <c r="H30" s="4" t="str">
        <f t="shared" si="19"/>
        <v xml:space="preserve"> </v>
      </c>
      <c r="I30" s="4" t="str">
        <f t="shared" si="19"/>
        <v xml:space="preserve"> </v>
      </c>
      <c r="J30" s="4" t="str">
        <f t="shared" si="19"/>
        <v xml:space="preserve"> </v>
      </c>
    </row>
    <row r="31" spans="2:10" x14ac:dyDescent="0.25">
      <c r="B31" s="11" t="s">
        <v>11</v>
      </c>
      <c r="C31" s="4">
        <f>IF(C$3&gt;0,AVERAGE(C27,C29)," ")</f>
        <v>0.97068884579179016</v>
      </c>
      <c r="D31" s="4">
        <f t="shared" ref="D31:J31" si="20">IF(D$3&gt;0,AVERAGE(D27,D29)," ")</f>
        <v>0.74221687315926488</v>
      </c>
      <c r="E31" s="4" t="str">
        <f t="shared" si="20"/>
        <v xml:space="preserve"> </v>
      </c>
      <c r="F31" s="4" t="str">
        <f t="shared" si="20"/>
        <v xml:space="preserve"> </v>
      </c>
      <c r="G31" s="4" t="str">
        <f t="shared" si="20"/>
        <v xml:space="preserve"> </v>
      </c>
      <c r="H31" s="4" t="str">
        <f t="shared" si="20"/>
        <v xml:space="preserve"> </v>
      </c>
      <c r="I31" s="4" t="str">
        <f t="shared" si="20"/>
        <v xml:space="preserve"> </v>
      </c>
      <c r="J31" s="4" t="str">
        <f t="shared" si="20"/>
        <v xml:space="preserve"> </v>
      </c>
    </row>
    <row r="32" spans="2:10" hidden="1" x14ac:dyDescent="0.25">
      <c r="B32" s="9" t="s">
        <v>6</v>
      </c>
      <c r="C32" s="18">
        <f t="shared" ref="C32:J32" si="21">C20/C17</f>
        <v>1.1022553023034558</v>
      </c>
      <c r="D32" s="18">
        <f t="shared" si="21"/>
        <v>1.22521561275</v>
      </c>
      <c r="E32" s="18" t="e">
        <f t="shared" si="21"/>
        <v>#VALUE!</v>
      </c>
      <c r="F32" s="18" t="e">
        <f t="shared" si="21"/>
        <v>#VALUE!</v>
      </c>
      <c r="G32" s="18" t="e">
        <f t="shared" si="21"/>
        <v>#VALUE!</v>
      </c>
      <c r="H32" s="18" t="e">
        <f t="shared" si="21"/>
        <v>#VALUE!</v>
      </c>
      <c r="I32" s="18" t="e">
        <f t="shared" si="21"/>
        <v>#VALUE!</v>
      </c>
      <c r="J32" s="18" t="e">
        <f t="shared" si="21"/>
        <v>#VALUE!</v>
      </c>
    </row>
    <row r="33" spans="2:10" hidden="1" x14ac:dyDescent="0.25">
      <c r="B33" s="9"/>
      <c r="C33" s="18"/>
      <c r="D33" s="18"/>
      <c r="E33" s="18"/>
      <c r="F33" s="18"/>
      <c r="G33" s="18"/>
      <c r="H33" s="18"/>
      <c r="I33" s="18"/>
      <c r="J33" s="18"/>
    </row>
    <row r="34" spans="2:10" ht="23.45" customHeight="1" x14ac:dyDescent="0.25">
      <c r="B34" s="26" t="s">
        <v>16</v>
      </c>
      <c r="C34" s="28" t="s">
        <v>17</v>
      </c>
      <c r="D34" s="28"/>
      <c r="E34" s="28"/>
      <c r="F34" s="28"/>
      <c r="G34" s="28"/>
      <c r="H34" s="28"/>
      <c r="I34" s="28"/>
      <c r="J34" s="28"/>
    </row>
    <row r="35" spans="2:10" ht="21" customHeight="1" x14ac:dyDescent="0.25">
      <c r="B35" s="27"/>
      <c r="C35" s="28"/>
      <c r="D35" s="28"/>
      <c r="E35" s="28"/>
      <c r="F35" s="28"/>
      <c r="G35" s="28"/>
      <c r="H35" s="28"/>
      <c r="I35" s="28"/>
      <c r="J35" s="28"/>
    </row>
    <row r="36" spans="2:10" x14ac:dyDescent="0.25">
      <c r="B36" s="24" t="str">
        <f>(IF(C23&lt;C22,"!",IF(D23&lt;D22,"!",IF(E23&lt;E22,"!",IF(F23&lt;F22,"!",IF(G23&lt;G22,"!",IF(H23&lt;H22,"!",IF(I23&lt;I22,"!",IF(J23&lt;J22,"!"," ")))))))))</f>
        <v xml:space="preserve"> </v>
      </c>
      <c r="C36" s="25" t="str">
        <f>IF(B36="!","Because the weight range is so wide, PIC biological requirement is set as 85% of the requirement at the beginning of the phase"," ")</f>
        <v xml:space="preserve"> </v>
      </c>
      <c r="D36" s="25"/>
      <c r="E36" s="25"/>
      <c r="F36" s="25"/>
      <c r="G36" s="25"/>
      <c r="H36" s="25"/>
      <c r="I36" s="25"/>
      <c r="J36" s="25"/>
    </row>
    <row r="37" spans="2:10" x14ac:dyDescent="0.25">
      <c r="B37" s="24"/>
      <c r="C37" s="25"/>
      <c r="D37" s="25"/>
      <c r="E37" s="25"/>
      <c r="F37" s="25"/>
      <c r="G37" s="25"/>
      <c r="H37" s="25"/>
      <c r="I37" s="25"/>
      <c r="J37" s="25"/>
    </row>
    <row r="38" spans="2:10" x14ac:dyDescent="0.25">
      <c r="B38" s="24" t="str">
        <f>(IF(C19&lt;2.6,"**",IF(D19&lt;2.6,"**",IF(E19&lt;2.6,"**",IF(F19&lt;2.6,"**",IF(G19&lt;2.6,"**",IF(H19&lt;2.6,"**",IF(I19&lt;2.6,"**",IF(J19&lt;2.6,"**"," ")))))))))</f>
        <v>**</v>
      </c>
      <c r="C38" s="25" t="str">
        <f>IF(B38="**","if desired weight at breeding is not met, PIC recommends using 97% of SID Lysine requirement for commercial gilts above 200 lbs"," ")</f>
        <v>if desired weight at breeding is not met, PIC recommends using 97% of SID Lysine requirement for commercial gilts above 200 lbs</v>
      </c>
      <c r="D38" s="25"/>
      <c r="E38" s="25"/>
      <c r="F38" s="25"/>
      <c r="G38" s="25"/>
      <c r="H38" s="25"/>
      <c r="I38" s="25"/>
      <c r="J38" s="25"/>
    </row>
    <row r="39" spans="2:10" x14ac:dyDescent="0.25">
      <c r="B39" s="24"/>
      <c r="C39" s="25"/>
      <c r="D39" s="25"/>
      <c r="E39" s="25"/>
      <c r="F39" s="25"/>
      <c r="G39" s="25"/>
      <c r="H39" s="25"/>
      <c r="I39" s="25"/>
      <c r="J39" s="25"/>
    </row>
    <row r="40" spans="2:10" x14ac:dyDescent="0.25">
      <c r="I40" s="19"/>
    </row>
    <row r="42" spans="2:10" x14ac:dyDescent="0.25">
      <c r="G42" s="19"/>
    </row>
  </sheetData>
  <sheetProtection algorithmName="SHA-512" hashValue="jTgxM3qSSMfoxSdrRO9HYDv+aRJLnZf5Z3gWLQ6UHF6F0i5Af7w2ka4Umf8AVNw3x5dmo5KqOtNrtQrmyuRSQg==" saltValue="kaM5RQ9Pz14OdXZeWsQkBQ==" spinCount="100000" sheet="1" objects="1" scenarios="1"/>
  <mergeCells count="6">
    <mergeCell ref="B36:B37"/>
    <mergeCell ref="C36:J37"/>
    <mergeCell ref="B38:B39"/>
    <mergeCell ref="C38:J39"/>
    <mergeCell ref="B34:B35"/>
    <mergeCell ref="C34:J35"/>
  </mergeCells>
  <conditionalFormatting sqref="C28:J28">
    <cfRule type="cellIs" dxfId="3" priority="2" operator="lessThanOrEqual">
      <formula>0.65</formula>
    </cfRule>
  </conditionalFormatting>
  <conditionalFormatting sqref="C19:J19">
    <cfRule type="cellIs" dxfId="2" priority="1" operator="lessThanOrEqual">
      <formula>2.6</formula>
    </cfRule>
  </conditionalFormatting>
  <dataValidations count="1">
    <dataValidation type="decimal" errorStyle="warning" allowBlank="1" showInputMessage="1" showErrorMessage="1" error="This calculator is based on data between 25 and 330 lb. It is not recommended to use for body weight outside of this range." sqref="C5:J6" xr:uid="{62D19230-7298-4253-B739-9114177DAB07}">
      <formula1>25</formula1>
      <formula2>330</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B9ED7-8853-4A9A-B4DD-53D692701D30}">
  <dimension ref="B1:M39"/>
  <sheetViews>
    <sheetView showGridLines="0" showRowColHeaders="0" zoomScale="120" zoomScaleNormal="120" workbookViewId="0">
      <selection activeCell="C31" sqref="C31:J31"/>
    </sheetView>
  </sheetViews>
  <sheetFormatPr defaultColWidth="8.85546875" defaultRowHeight="15" x14ac:dyDescent="0.25"/>
  <cols>
    <col min="1" max="1" width="8.85546875" style="11"/>
    <col min="2" max="2" width="27" style="11" customWidth="1"/>
    <col min="3" max="7" width="9.28515625" style="10" customWidth="1"/>
    <col min="8" max="10" width="9.28515625" style="11" customWidth="1"/>
    <col min="11" max="16384" width="8.85546875" style="11"/>
  </cols>
  <sheetData>
    <row r="1" spans="2:10" s="7" customFormat="1" ht="111" customHeight="1" x14ac:dyDescent="0.25">
      <c r="C1" s="8"/>
      <c r="D1" s="8"/>
      <c r="E1" s="8"/>
      <c r="F1" s="8"/>
      <c r="G1" s="8"/>
    </row>
    <row r="2" spans="2:10" x14ac:dyDescent="0.25">
      <c r="B2" s="9"/>
      <c r="H2" s="10"/>
    </row>
    <row r="3" spans="2:10" x14ac:dyDescent="0.25">
      <c r="B3" s="9" t="s">
        <v>4</v>
      </c>
      <c r="C3" s="2">
        <v>2350</v>
      </c>
      <c r="D3" s="2">
        <v>2300</v>
      </c>
      <c r="E3" s="2"/>
      <c r="F3" s="2"/>
      <c r="G3" s="2"/>
      <c r="H3" s="2"/>
      <c r="I3" s="2"/>
      <c r="J3" s="2"/>
    </row>
    <row r="4" spans="2:10" s="12" customFormat="1" ht="15.75" x14ac:dyDescent="0.25">
      <c r="C4" s="23" t="str">
        <f t="shared" ref="C4:J4" si="0">IF(C23&lt;C22,"!", " ")</f>
        <v xml:space="preserve"> </v>
      </c>
      <c r="D4" s="23" t="str">
        <f t="shared" si="0"/>
        <v xml:space="preserve"> </v>
      </c>
      <c r="E4" s="23" t="str">
        <f t="shared" si="0"/>
        <v xml:space="preserve"> </v>
      </c>
      <c r="F4" s="23" t="str">
        <f t="shared" si="0"/>
        <v xml:space="preserve"> </v>
      </c>
      <c r="G4" s="23" t="str">
        <f t="shared" si="0"/>
        <v xml:space="preserve"> </v>
      </c>
      <c r="H4" s="23" t="str">
        <f t="shared" si="0"/>
        <v xml:space="preserve"> </v>
      </c>
      <c r="I4" s="23" t="str">
        <f t="shared" si="0"/>
        <v xml:space="preserve"> </v>
      </c>
      <c r="J4" s="23" t="str">
        <f t="shared" si="0"/>
        <v xml:space="preserve"> </v>
      </c>
    </row>
    <row r="5" spans="2:10" x14ac:dyDescent="0.25">
      <c r="B5" s="9" t="s">
        <v>0</v>
      </c>
      <c r="C5" s="2">
        <v>60</v>
      </c>
      <c r="D5" s="2">
        <v>90</v>
      </c>
      <c r="E5" s="2"/>
      <c r="F5" s="2"/>
      <c r="G5" s="2"/>
      <c r="H5" s="2"/>
      <c r="I5" s="2"/>
      <c r="J5" s="2"/>
    </row>
    <row r="6" spans="2:10" x14ac:dyDescent="0.25">
      <c r="B6" s="9" t="s">
        <v>1</v>
      </c>
      <c r="C6" s="2">
        <v>60</v>
      </c>
      <c r="D6" s="2">
        <v>130</v>
      </c>
      <c r="E6" s="2"/>
      <c r="F6" s="2"/>
      <c r="G6" s="2"/>
      <c r="H6" s="2"/>
      <c r="I6" s="2"/>
      <c r="J6" s="2"/>
    </row>
    <row r="7" spans="2:10" x14ac:dyDescent="0.25">
      <c r="H7" s="10"/>
    </row>
    <row r="8" spans="2:10" hidden="1" x14ac:dyDescent="0.25">
      <c r="B8" s="11" t="s">
        <v>3</v>
      </c>
      <c r="C8" s="13">
        <f>IF(C5&gt;0,CONVERT(C5*1000,"g","lbm")," ")</f>
        <v>132.27735731092653</v>
      </c>
      <c r="D8" s="13">
        <f t="shared" ref="D8:J9" si="1">IF(D5&gt;0,CONVERT(D5*1000,"g","lbm")," ")</f>
        <v>198.41603596638981</v>
      </c>
      <c r="E8" s="13" t="str">
        <f t="shared" si="1"/>
        <v xml:space="preserve"> </v>
      </c>
      <c r="F8" s="13" t="str">
        <f t="shared" si="1"/>
        <v xml:space="preserve"> </v>
      </c>
      <c r="G8" s="13" t="str">
        <f t="shared" si="1"/>
        <v xml:space="preserve"> </v>
      </c>
      <c r="H8" s="13" t="str">
        <f t="shared" si="1"/>
        <v xml:space="preserve"> </v>
      </c>
      <c r="I8" s="13" t="str">
        <f t="shared" si="1"/>
        <v xml:space="preserve"> </v>
      </c>
      <c r="J8" s="13" t="str">
        <f t="shared" si="1"/>
        <v xml:space="preserve"> </v>
      </c>
    </row>
    <row r="9" spans="2:10" hidden="1" x14ac:dyDescent="0.25">
      <c r="B9" s="11" t="s">
        <v>2</v>
      </c>
      <c r="C9" s="13">
        <f>IF(C6&gt;0,CONVERT(C6*1000,"g","lbm")," ")</f>
        <v>132.27735731092653</v>
      </c>
      <c r="D9" s="13">
        <f t="shared" si="1"/>
        <v>286.60094084034085</v>
      </c>
      <c r="E9" s="13" t="str">
        <f t="shared" si="1"/>
        <v xml:space="preserve"> </v>
      </c>
      <c r="F9" s="13" t="str">
        <f t="shared" si="1"/>
        <v xml:space="preserve"> </v>
      </c>
      <c r="G9" s="13" t="str">
        <f t="shared" si="1"/>
        <v xml:space="preserve"> </v>
      </c>
      <c r="H9" s="13" t="str">
        <f t="shared" si="1"/>
        <v xml:space="preserve"> </v>
      </c>
      <c r="I9" s="13" t="str">
        <f t="shared" si="1"/>
        <v xml:space="preserve"> </v>
      </c>
      <c r="J9" s="13" t="str">
        <f t="shared" si="1"/>
        <v xml:space="preserve"> </v>
      </c>
    </row>
    <row r="10" spans="2:10" hidden="1" x14ac:dyDescent="0.25">
      <c r="C10" s="14">
        <f>IFERROR(IF(C8&gt;0,AVERAGE(C8:C9)," "),"")</f>
        <v>132.27735731092653</v>
      </c>
      <c r="D10" s="14">
        <f t="shared" ref="D10:J10" si="2">IFERROR(IF(D8&gt;0,AVERAGE(D8:D9)," "),"")</f>
        <v>242.50848840336533</v>
      </c>
      <c r="E10" s="14" t="str">
        <f t="shared" si="2"/>
        <v/>
      </c>
      <c r="F10" s="14" t="str">
        <f t="shared" si="2"/>
        <v/>
      </c>
      <c r="G10" s="14" t="str">
        <f t="shared" si="2"/>
        <v/>
      </c>
      <c r="H10" s="14" t="str">
        <f t="shared" si="2"/>
        <v/>
      </c>
      <c r="I10" s="14" t="str">
        <f t="shared" si="2"/>
        <v/>
      </c>
      <c r="J10" s="14" t="str">
        <f t="shared" si="2"/>
        <v/>
      </c>
    </row>
    <row r="11" spans="2:10" hidden="1" x14ac:dyDescent="0.25">
      <c r="C11" s="14"/>
      <c r="D11" s="14"/>
      <c r="E11" s="14"/>
      <c r="F11" s="14"/>
      <c r="G11" s="15"/>
      <c r="H11" s="16"/>
      <c r="J11" s="17"/>
    </row>
    <row r="12" spans="2:10" hidden="1" x14ac:dyDescent="0.25">
      <c r="B12" s="11" t="s">
        <v>0</v>
      </c>
      <c r="C12" s="13">
        <f>IF(C5&gt;0,C5," ")</f>
        <v>60</v>
      </c>
      <c r="D12" s="13">
        <f t="shared" ref="D12:J13" si="3">IF(D5&gt;0,D5," ")</f>
        <v>90</v>
      </c>
      <c r="E12" s="13" t="str">
        <f t="shared" si="3"/>
        <v xml:space="preserve"> </v>
      </c>
      <c r="F12" s="13" t="str">
        <f t="shared" si="3"/>
        <v xml:space="preserve"> </v>
      </c>
      <c r="G12" s="13" t="str">
        <f t="shared" si="3"/>
        <v xml:space="preserve"> </v>
      </c>
      <c r="H12" s="13" t="str">
        <f t="shared" si="3"/>
        <v xml:space="preserve"> </v>
      </c>
      <c r="I12" s="13" t="str">
        <f t="shared" si="3"/>
        <v xml:space="preserve"> </v>
      </c>
      <c r="J12" s="13" t="str">
        <f t="shared" si="3"/>
        <v xml:space="preserve"> </v>
      </c>
    </row>
    <row r="13" spans="2:10" hidden="1" x14ac:dyDescent="0.25">
      <c r="B13" s="11" t="s">
        <v>1</v>
      </c>
      <c r="C13" s="13">
        <f>IF(C6&gt;0,C6," ")</f>
        <v>60</v>
      </c>
      <c r="D13" s="13">
        <f t="shared" si="3"/>
        <v>130</v>
      </c>
      <c r="E13" s="13" t="str">
        <f t="shared" si="3"/>
        <v xml:space="preserve"> </v>
      </c>
      <c r="F13" s="13" t="str">
        <f t="shared" si="3"/>
        <v xml:space="preserve"> </v>
      </c>
      <c r="G13" s="13" t="str">
        <f t="shared" si="3"/>
        <v xml:space="preserve"> </v>
      </c>
      <c r="H13" s="13" t="str">
        <f t="shared" si="3"/>
        <v xml:space="preserve"> </v>
      </c>
      <c r="I13" s="13" t="str">
        <f t="shared" si="3"/>
        <v xml:space="preserve"> </v>
      </c>
      <c r="J13" s="13" t="str">
        <f t="shared" si="3"/>
        <v xml:space="preserve"> </v>
      </c>
    </row>
    <row r="14" spans="2:10" hidden="1" x14ac:dyDescent="0.25">
      <c r="C14" s="14">
        <f>IFERROR(IF(C12&gt;0,AVERAGE(C12:C13)," "),"")</f>
        <v>60</v>
      </c>
      <c r="D14" s="14">
        <f t="shared" ref="D14:J14" si="4">IFERROR(IF(D12&gt;0,AVERAGE(D12:D13)," "),"")</f>
        <v>110</v>
      </c>
      <c r="E14" s="14" t="str">
        <f t="shared" si="4"/>
        <v/>
      </c>
      <c r="F14" s="14" t="str">
        <f t="shared" si="4"/>
        <v/>
      </c>
      <c r="G14" s="14" t="str">
        <f t="shared" si="4"/>
        <v/>
      </c>
      <c r="H14" s="14" t="str">
        <f t="shared" si="4"/>
        <v/>
      </c>
      <c r="I14" s="14" t="str">
        <f t="shared" si="4"/>
        <v/>
      </c>
      <c r="J14" s="14" t="str">
        <f t="shared" si="4"/>
        <v/>
      </c>
    </row>
    <row r="15" spans="2:10" hidden="1" x14ac:dyDescent="0.25">
      <c r="C15" s="14"/>
      <c r="D15" s="14"/>
      <c r="E15" s="14"/>
      <c r="F15" s="14"/>
      <c r="G15" s="15"/>
      <c r="H15" s="16"/>
      <c r="J15" s="17"/>
    </row>
    <row r="16" spans="2:10" x14ac:dyDescent="0.25">
      <c r="B16" s="9" t="s">
        <v>13</v>
      </c>
      <c r="G16" s="16"/>
      <c r="H16" s="16"/>
      <c r="J16" s="17"/>
    </row>
    <row r="17" spans="2:13" x14ac:dyDescent="0.25">
      <c r="B17" s="11" t="s">
        <v>7</v>
      </c>
      <c r="C17" s="4">
        <f>IFERROR(IF(AND(C5&gt;0,C14&lt;40),C21,C21+(-(-0.0000000031*C14^4+0.0000013234*C14^3-0.0002087068*C14^2+0.0142221655*C14-0.3126825057)*C21)),"")</f>
        <v>3.6793395489139979</v>
      </c>
      <c r="D17" s="4">
        <f t="shared" ref="D17:J17" si="5">IFERROR(IF(AND(D5&gt;0,D14&lt;40),D21,D21+(-(-0.0000000031*D14^4+0.0000013234*D14^3-0.0002087068*D14^2+0.0142221655*D14-0.3126825057)*D21)),"")</f>
        <v>2.7049884741638222</v>
      </c>
      <c r="E17" s="4" t="str">
        <f t="shared" si="5"/>
        <v/>
      </c>
      <c r="F17" s="4" t="str">
        <f t="shared" si="5"/>
        <v/>
      </c>
      <c r="G17" s="4" t="str">
        <f t="shared" si="5"/>
        <v/>
      </c>
      <c r="H17" s="4" t="str">
        <f t="shared" si="5"/>
        <v/>
      </c>
      <c r="I17" s="4" t="str">
        <f t="shared" si="5"/>
        <v/>
      </c>
      <c r="J17" s="4" t="str">
        <f t="shared" si="5"/>
        <v/>
      </c>
    </row>
    <row r="18" spans="2:13" x14ac:dyDescent="0.25">
      <c r="B18" s="11" t="s">
        <v>8</v>
      </c>
      <c r="C18" s="4">
        <f>IFERROR(IF(AND(C5&gt;0,C14&lt;40),C21,C21+((-0.0000000031*C14^4+0.0000013234*C14^3-0.0002087068*C14^2+0.0142221655*C14-0.3126825057)*C21)),"")</f>
        <v>3.9460872284473134</v>
      </c>
      <c r="D18" s="4">
        <f t="shared" ref="D18:J18" si="6">IFERROR(IF(AND(D5&gt;0,D14&lt;40),D21,D21+((-0.0000000031*D14^4+0.0000013234*D14^3-0.0002087068*D14^2+0.0142221655*D14-0.3126825057)*D21)),"")</f>
        <v>2.8952731517208576</v>
      </c>
      <c r="E18" s="4" t="str">
        <f t="shared" si="6"/>
        <v/>
      </c>
      <c r="F18" s="4" t="str">
        <f t="shared" si="6"/>
        <v/>
      </c>
      <c r="G18" s="4" t="str">
        <f t="shared" si="6"/>
        <v/>
      </c>
      <c r="H18" s="4" t="str">
        <f t="shared" si="6"/>
        <v/>
      </c>
      <c r="I18" s="4" t="str">
        <f t="shared" si="6"/>
        <v/>
      </c>
      <c r="J18" s="4" t="str">
        <f t="shared" si="6"/>
        <v/>
      </c>
    </row>
    <row r="19" spans="2:13" s="7" customFormat="1" x14ac:dyDescent="0.25">
      <c r="B19" s="11" t="str">
        <f>IF(B38="**","     Gilts development **","     Gilts development " )</f>
        <v xml:space="preserve">     Gilts development **</v>
      </c>
      <c r="C19" s="22">
        <f>IFERROR(IF(C5&gt;=90,2.51,(C18*0.97))," ")</f>
        <v>3.827704611593894</v>
      </c>
      <c r="D19" s="22">
        <f t="shared" ref="D19:J19" si="7">IFERROR(IF(D5&gt;=90,2.51,(D18*0.97))," ")</f>
        <v>2.5099999999999998</v>
      </c>
      <c r="E19" s="22" t="str">
        <f t="shared" si="7"/>
        <v xml:space="preserve"> </v>
      </c>
      <c r="F19" s="22" t="str">
        <f t="shared" si="7"/>
        <v xml:space="preserve"> </v>
      </c>
      <c r="G19" s="22" t="str">
        <f t="shared" si="7"/>
        <v xml:space="preserve"> </v>
      </c>
      <c r="H19" s="22" t="str">
        <f t="shared" si="7"/>
        <v xml:space="preserve"> </v>
      </c>
      <c r="I19" s="22" t="str">
        <f t="shared" si="7"/>
        <v xml:space="preserve"> </v>
      </c>
      <c r="J19" s="22" t="str">
        <f t="shared" si="7"/>
        <v xml:space="preserve"> </v>
      </c>
      <c r="K19" s="11"/>
      <c r="L19" s="11"/>
      <c r="M19" s="11"/>
    </row>
    <row r="20" spans="2:13" x14ac:dyDescent="0.25">
      <c r="B20" s="11" t="s">
        <v>9</v>
      </c>
      <c r="C20" s="4">
        <f>IF(C5&gt;0,(IF((C17)*(0.0023*(C14)+0.9644)&lt;C18,C18,(C17)*(0.0023*(C14)+0.9644)))," ")</f>
        <v>4.0561039187227914</v>
      </c>
      <c r="D20" s="4">
        <f t="shared" ref="D20:J20" si="8">IF(D5&gt;0,(IF((D17)*(0.0023*(D14)+0.9644)&lt;D18,D18,(D17)*(0.0023*(D14)+0.9644)))," ")</f>
        <v>3.2930529684470371</v>
      </c>
      <c r="E20" s="4" t="str">
        <f t="shared" si="8"/>
        <v xml:space="preserve"> </v>
      </c>
      <c r="F20" s="4" t="str">
        <f t="shared" si="8"/>
        <v xml:space="preserve"> </v>
      </c>
      <c r="G20" s="4" t="str">
        <f t="shared" si="8"/>
        <v xml:space="preserve"> </v>
      </c>
      <c r="H20" s="4" t="str">
        <f t="shared" si="8"/>
        <v xml:space="preserve"> </v>
      </c>
      <c r="I20" s="4" t="str">
        <f t="shared" si="8"/>
        <v xml:space="preserve"> </v>
      </c>
      <c r="J20" s="4" t="str">
        <f t="shared" si="8"/>
        <v xml:space="preserve"> </v>
      </c>
    </row>
    <row r="21" spans="2:13" x14ac:dyDescent="0.25">
      <c r="B21" s="11" t="s">
        <v>10</v>
      </c>
      <c r="C21" s="4">
        <f>IF(C23&gt;C22,C23,C22)</f>
        <v>3.8127133886806557</v>
      </c>
      <c r="D21" s="4">
        <f t="shared" ref="D21:J21" si="9">IF(D23&gt;D22,D23,D22)</f>
        <v>2.8001308129423399</v>
      </c>
      <c r="E21" s="4" t="str">
        <f t="shared" si="9"/>
        <v xml:space="preserve"> </v>
      </c>
      <c r="F21" s="4" t="str">
        <f t="shared" si="9"/>
        <v xml:space="preserve"> </v>
      </c>
      <c r="G21" s="4" t="str">
        <f t="shared" si="9"/>
        <v xml:space="preserve"> </v>
      </c>
      <c r="H21" s="4" t="str">
        <f t="shared" si="9"/>
        <v xml:space="preserve"> </v>
      </c>
      <c r="I21" s="4" t="str">
        <f t="shared" si="9"/>
        <v xml:space="preserve"> </v>
      </c>
      <c r="J21" s="4" t="str">
        <f t="shared" si="9"/>
        <v xml:space="preserve"> </v>
      </c>
    </row>
    <row r="22" spans="2:13" hidden="1" x14ac:dyDescent="0.25">
      <c r="B22" s="11" t="s">
        <v>14</v>
      </c>
      <c r="C22" s="21">
        <f>IF(C5&gt;0,(0.0000327185*(C8^2) - 0.0214484253*(C8) +6.0773690201)*0.85," ")</f>
        <v>3.2408063803785572</v>
      </c>
      <c r="D22" s="21">
        <f t="shared" ref="D22:J22" si="10">IF(D5&gt;0,(0.0000327185*(D8^2) - 0.0214484253*(D8) +6.0773690201)*0.85," ")</f>
        <v>2.6432871704380747</v>
      </c>
      <c r="E22" s="21" t="str">
        <f t="shared" si="10"/>
        <v xml:space="preserve"> </v>
      </c>
      <c r="F22" s="21" t="str">
        <f t="shared" si="10"/>
        <v xml:space="preserve"> </v>
      </c>
      <c r="G22" s="21" t="str">
        <f t="shared" si="10"/>
        <v xml:space="preserve"> </v>
      </c>
      <c r="H22" s="21" t="str">
        <f t="shared" si="10"/>
        <v xml:space="preserve"> </v>
      </c>
      <c r="I22" s="21" t="str">
        <f t="shared" si="10"/>
        <v xml:space="preserve"> </v>
      </c>
      <c r="J22" s="21" t="str">
        <f t="shared" si="10"/>
        <v xml:space="preserve"> </v>
      </c>
    </row>
    <row r="23" spans="2:13" hidden="1" x14ac:dyDescent="0.25">
      <c r="B23" s="11" t="s">
        <v>15</v>
      </c>
      <c r="C23" s="21">
        <f>IF(C5&gt;0,(0.0000327185*(C10^2) - 0.0214484253*(C10) +6.0773690201)," ")</f>
        <v>3.8127133886806557</v>
      </c>
      <c r="D23" s="21">
        <f t="shared" ref="D23:J23" si="11">IF(D5&gt;0,(0.0000327185*(D10^2) - 0.0214484253*(D10) +6.0773690201)," ")</f>
        <v>2.8001308129423399</v>
      </c>
      <c r="E23" s="21" t="str">
        <f t="shared" si="11"/>
        <v xml:space="preserve"> </v>
      </c>
      <c r="F23" s="21" t="str">
        <f t="shared" si="11"/>
        <v xml:space="preserve"> </v>
      </c>
      <c r="G23" s="21" t="str">
        <f t="shared" si="11"/>
        <v xml:space="preserve"> </v>
      </c>
      <c r="H23" s="21" t="str">
        <f t="shared" si="11"/>
        <v xml:space="preserve"> </v>
      </c>
      <c r="I23" s="21" t="str">
        <f t="shared" si="11"/>
        <v xml:space="preserve"> </v>
      </c>
      <c r="J23" s="21" t="str">
        <f t="shared" si="11"/>
        <v xml:space="preserve"> </v>
      </c>
    </row>
    <row r="24" spans="2:13" x14ac:dyDescent="0.25">
      <c r="C24" s="16"/>
      <c r="D24" s="16"/>
      <c r="E24" s="16"/>
      <c r="F24" s="16"/>
      <c r="G24" s="16"/>
      <c r="H24" s="12"/>
      <c r="I24" s="12"/>
      <c r="J24" s="12"/>
    </row>
    <row r="25" spans="2:13" x14ac:dyDescent="0.25">
      <c r="B25" s="9" t="s">
        <v>12</v>
      </c>
      <c r="C25" s="16"/>
      <c r="D25" s="16"/>
      <c r="E25" s="16"/>
      <c r="F25" s="16"/>
      <c r="G25" s="16"/>
      <c r="H25" s="16"/>
      <c r="I25" s="12"/>
      <c r="J25" s="20"/>
    </row>
    <row r="26" spans="2:13" x14ac:dyDescent="0.25">
      <c r="B26" s="11" t="s">
        <v>7</v>
      </c>
      <c r="C26" s="4">
        <f>IFERROR(IF(C$3&gt;0,(C17*(C$3)/10000)," "),"")</f>
        <v>0.86464479399478955</v>
      </c>
      <c r="D26" s="4">
        <f t="shared" ref="D26:J26" si="12">IFERROR(IF(D$3&gt;0,(D17*(D$3)/10000)," "),"")</f>
        <v>0.6221473490576791</v>
      </c>
      <c r="E26" s="4" t="str">
        <f t="shared" si="12"/>
        <v xml:space="preserve"> </v>
      </c>
      <c r="F26" s="4" t="str">
        <f t="shared" si="12"/>
        <v xml:space="preserve"> </v>
      </c>
      <c r="G26" s="4" t="str">
        <f t="shared" si="12"/>
        <v xml:space="preserve"> </v>
      </c>
      <c r="H26" s="4" t="str">
        <f t="shared" si="12"/>
        <v xml:space="preserve"> </v>
      </c>
      <c r="I26" s="4" t="str">
        <f t="shared" si="12"/>
        <v xml:space="preserve"> </v>
      </c>
      <c r="J26" s="4" t="str">
        <f t="shared" si="12"/>
        <v xml:space="preserve"> </v>
      </c>
    </row>
    <row r="27" spans="2:13" x14ac:dyDescent="0.25">
      <c r="B27" s="11" t="s">
        <v>8</v>
      </c>
      <c r="C27" s="4">
        <f>IF(C$3&gt;0,(C18*(C$3)/10000)," ")</f>
        <v>0.92733049868511863</v>
      </c>
      <c r="D27" s="4">
        <f t="shared" ref="D27:J27" si="13">IF(D$3&gt;0,(D18*(D$3)/10000)," ")</f>
        <v>0.66591282489579728</v>
      </c>
      <c r="E27" s="4" t="str">
        <f t="shared" si="13"/>
        <v xml:space="preserve"> </v>
      </c>
      <c r="F27" s="4" t="str">
        <f t="shared" si="13"/>
        <v xml:space="preserve"> </v>
      </c>
      <c r="G27" s="4" t="str">
        <f t="shared" si="13"/>
        <v xml:space="preserve"> </v>
      </c>
      <c r="H27" s="4" t="str">
        <f t="shared" si="13"/>
        <v xml:space="preserve"> </v>
      </c>
      <c r="I27" s="4" t="str">
        <f t="shared" si="13"/>
        <v xml:space="preserve"> </v>
      </c>
      <c r="J27" s="4" t="str">
        <f t="shared" si="13"/>
        <v xml:space="preserve"> </v>
      </c>
    </row>
    <row r="28" spans="2:13" s="7" customFormat="1" x14ac:dyDescent="0.25">
      <c r="B28" s="11" t="str">
        <f>IF(B38="**","     Gilts development **","     Gilts development " )</f>
        <v xml:space="preserve">     Gilts development **</v>
      </c>
      <c r="C28" s="22">
        <f>IF(C$3&gt;0,(C19*(C$3)/10000)," ")</f>
        <v>0.89951058372456505</v>
      </c>
      <c r="D28" s="22">
        <f t="shared" ref="D28:J28" si="14">IF(D$3&gt;0,(D19*(D$3)/10000)," ")</f>
        <v>0.57729999999999992</v>
      </c>
      <c r="E28" s="22" t="str">
        <f t="shared" si="14"/>
        <v xml:space="preserve"> </v>
      </c>
      <c r="F28" s="22" t="str">
        <f t="shared" si="14"/>
        <v xml:space="preserve"> </v>
      </c>
      <c r="G28" s="22" t="str">
        <f t="shared" si="14"/>
        <v xml:space="preserve"> </v>
      </c>
      <c r="H28" s="22" t="str">
        <f t="shared" si="14"/>
        <v xml:space="preserve"> </v>
      </c>
      <c r="I28" s="22" t="str">
        <f t="shared" si="14"/>
        <v xml:space="preserve"> </v>
      </c>
      <c r="J28" s="22" t="str">
        <f t="shared" si="14"/>
        <v xml:space="preserve"> </v>
      </c>
    </row>
    <row r="29" spans="2:13" x14ac:dyDescent="0.25">
      <c r="B29" s="11" t="s">
        <v>9</v>
      </c>
      <c r="C29" s="4">
        <f>IF(C$3&gt;0,(C20*(C$3)/10000)," ")</f>
        <v>0.953184420899856</v>
      </c>
      <c r="D29" s="4">
        <f t="shared" ref="D29:J29" si="15">IF(D$3&gt;0,(D20*(D$3)/10000)," ")</f>
        <v>0.75740218274281856</v>
      </c>
      <c r="E29" s="4" t="str">
        <f t="shared" si="15"/>
        <v xml:space="preserve"> </v>
      </c>
      <c r="F29" s="4" t="str">
        <f t="shared" si="15"/>
        <v xml:space="preserve"> </v>
      </c>
      <c r="G29" s="4" t="str">
        <f t="shared" si="15"/>
        <v xml:space="preserve"> </v>
      </c>
      <c r="H29" s="4" t="str">
        <f t="shared" si="15"/>
        <v xml:space="preserve"> </v>
      </c>
      <c r="I29" s="4" t="str">
        <f t="shared" si="15"/>
        <v xml:space="preserve"> </v>
      </c>
      <c r="J29" s="4" t="str">
        <f t="shared" si="15"/>
        <v xml:space="preserve"> </v>
      </c>
    </row>
    <row r="30" spans="2:13" x14ac:dyDescent="0.25">
      <c r="B30" s="11" t="s">
        <v>10</v>
      </c>
      <c r="C30" s="4">
        <f>IF(C$3&gt;0,(C21*(C$3)/10000)," ")</f>
        <v>0.8959876463399542</v>
      </c>
      <c r="D30" s="4">
        <f t="shared" ref="D30:J30" si="16">IF(D$3&gt;0,(D21*(D$3)/10000)," ")</f>
        <v>0.64403008697673825</v>
      </c>
      <c r="E30" s="4" t="str">
        <f t="shared" si="16"/>
        <v xml:space="preserve"> </v>
      </c>
      <c r="F30" s="4" t="str">
        <f t="shared" si="16"/>
        <v xml:space="preserve"> </v>
      </c>
      <c r="G30" s="4" t="str">
        <f t="shared" si="16"/>
        <v xml:space="preserve"> </v>
      </c>
      <c r="H30" s="4" t="str">
        <f t="shared" si="16"/>
        <v xml:space="preserve"> </v>
      </c>
      <c r="I30" s="4" t="str">
        <f>IF(I$3&gt;0,(I21*(I$3)/10000)," ")</f>
        <v xml:space="preserve"> </v>
      </c>
      <c r="J30" s="4" t="str">
        <f t="shared" si="16"/>
        <v xml:space="preserve"> </v>
      </c>
    </row>
    <row r="31" spans="2:13" x14ac:dyDescent="0.25">
      <c r="B31" s="11" t="s">
        <v>11</v>
      </c>
      <c r="C31" s="4">
        <f>IF(C$3&gt;0,AVERAGE(C27,C29)," ")</f>
        <v>0.94025745979248732</v>
      </c>
      <c r="D31" s="4">
        <f t="shared" ref="D31:J31" si="17">IF(D$3&gt;0,AVERAGE(D27,D29)," ")</f>
        <v>0.71165750381930792</v>
      </c>
      <c r="E31" s="4" t="str">
        <f t="shared" si="17"/>
        <v xml:space="preserve"> </v>
      </c>
      <c r="F31" s="4" t="str">
        <f t="shared" si="17"/>
        <v xml:space="preserve"> </v>
      </c>
      <c r="G31" s="4" t="str">
        <f t="shared" si="17"/>
        <v xml:space="preserve"> </v>
      </c>
      <c r="H31" s="4" t="str">
        <f t="shared" si="17"/>
        <v xml:space="preserve"> </v>
      </c>
      <c r="I31" s="4" t="str">
        <f t="shared" si="17"/>
        <v xml:space="preserve"> </v>
      </c>
      <c r="J31" s="4" t="str">
        <f t="shared" si="17"/>
        <v xml:space="preserve"> </v>
      </c>
    </row>
    <row r="32" spans="2:13" hidden="1" x14ac:dyDescent="0.25">
      <c r="B32" s="9" t="s">
        <v>6</v>
      </c>
      <c r="C32" s="18">
        <f>C20/C17</f>
        <v>1.1024</v>
      </c>
      <c r="D32" s="18">
        <f t="shared" ref="D32:J32" si="18">D20/D17</f>
        <v>1.2174</v>
      </c>
      <c r="E32" s="18" t="e">
        <f t="shared" si="18"/>
        <v>#VALUE!</v>
      </c>
      <c r="F32" s="18" t="e">
        <f t="shared" si="18"/>
        <v>#VALUE!</v>
      </c>
      <c r="G32" s="18" t="e">
        <f t="shared" si="18"/>
        <v>#VALUE!</v>
      </c>
      <c r="H32" s="18" t="e">
        <f t="shared" si="18"/>
        <v>#VALUE!</v>
      </c>
      <c r="I32" s="18" t="e">
        <f>I20/I17</f>
        <v>#VALUE!</v>
      </c>
      <c r="J32" s="18" t="e">
        <f t="shared" si="18"/>
        <v>#VALUE!</v>
      </c>
    </row>
    <row r="33" spans="2:10" hidden="1" x14ac:dyDescent="0.25">
      <c r="B33" s="9"/>
      <c r="C33" s="18"/>
      <c r="D33" s="18"/>
      <c r="E33" s="18"/>
      <c r="F33" s="18"/>
      <c r="G33" s="18"/>
      <c r="H33" s="18"/>
      <c r="I33" s="18"/>
      <c r="J33" s="18"/>
    </row>
    <row r="34" spans="2:10" ht="18" customHeight="1" x14ac:dyDescent="0.25">
      <c r="B34" s="26" t="s">
        <v>16</v>
      </c>
      <c r="C34" s="28" t="s">
        <v>17</v>
      </c>
      <c r="D34" s="28"/>
      <c r="E34" s="28"/>
      <c r="F34" s="28"/>
      <c r="G34" s="28"/>
      <c r="H34" s="28"/>
      <c r="I34" s="28"/>
      <c r="J34" s="28"/>
    </row>
    <row r="35" spans="2:10" ht="22.15" customHeight="1" x14ac:dyDescent="0.25">
      <c r="B35" s="27"/>
      <c r="C35" s="28"/>
      <c r="D35" s="28"/>
      <c r="E35" s="28"/>
      <c r="F35" s="28"/>
      <c r="G35" s="28"/>
      <c r="H35" s="28"/>
      <c r="I35" s="28"/>
      <c r="J35" s="28"/>
    </row>
    <row r="36" spans="2:10" x14ac:dyDescent="0.25">
      <c r="B36" s="24" t="str">
        <f>(IF(C23&lt;C22,"!",IF(D23&lt;D22,"!",IF(E23&lt;E22,"!",IF(F23&lt;F22,"!",IF(G23&lt;G22,"!",IF(H23&lt;H22,"!",IF(I23&lt;I22,"!",IF(J23&lt;J22,"!"," ")))))))))</f>
        <v xml:space="preserve"> </v>
      </c>
      <c r="C36" s="25" t="str">
        <f>IF(B36="!","Because the weight range is so wide, PIC biological requirement is set as 85% of the requirement at the beginning of the phase"," ")</f>
        <v xml:space="preserve"> </v>
      </c>
      <c r="D36" s="25"/>
      <c r="E36" s="25"/>
      <c r="F36" s="25"/>
      <c r="G36" s="25"/>
      <c r="H36" s="25"/>
      <c r="I36" s="25"/>
      <c r="J36" s="25"/>
    </row>
    <row r="37" spans="2:10" x14ac:dyDescent="0.25">
      <c r="B37" s="24"/>
      <c r="C37" s="25"/>
      <c r="D37" s="25"/>
      <c r="E37" s="25"/>
      <c r="F37" s="25"/>
      <c r="G37" s="25"/>
      <c r="H37" s="25"/>
      <c r="I37" s="25"/>
      <c r="J37" s="25"/>
    </row>
    <row r="38" spans="2:10" x14ac:dyDescent="0.25">
      <c r="B38" s="24" t="str">
        <f>(IF(C19&lt;2.6,"**",IF(D19&lt;2.6,"**",IF(E19&lt;2.6,"**",IF(F19&lt;2.6,"**",IF(G19&lt;2.6,"**",IF(H19&lt;2.6,"**",IF(I19&lt;2.6,"**",IF(J19&lt;2.6,"**"," ")))))))))</f>
        <v>**</v>
      </c>
      <c r="C38" s="25" t="str">
        <f>IF(B38="**","if desired weight at breeding is not met,, PIC recommends using 97% of SID Lysine requirement for commercial gilts above 90 kg"," ")</f>
        <v>if desired weight at breeding is not met,, PIC recommends using 97% of SID Lysine requirement for commercial gilts above 90 kg</v>
      </c>
      <c r="D38" s="25"/>
      <c r="E38" s="25"/>
      <c r="F38" s="25"/>
      <c r="G38" s="25"/>
      <c r="H38" s="25"/>
      <c r="I38" s="25"/>
      <c r="J38" s="25"/>
    </row>
    <row r="39" spans="2:10" x14ac:dyDescent="0.25">
      <c r="B39" s="24"/>
      <c r="C39" s="25"/>
      <c r="D39" s="25"/>
      <c r="E39" s="25"/>
      <c r="F39" s="25"/>
      <c r="G39" s="25"/>
      <c r="H39" s="25"/>
      <c r="I39" s="25"/>
      <c r="J39" s="25"/>
    </row>
  </sheetData>
  <sheetProtection algorithmName="SHA-512" hashValue="DcDeZm/dqrzCjqKG6M7aydWxo2qWtimb/MtYVP6zPQJBO+G8t92RwmoKo2QdlKW9AxG657Ltr0TqA6MVlqs/mA==" saltValue="UctF+60dBGf6rB+OU0NhXg==" spinCount="100000" sheet="1" objects="1" scenarios="1"/>
  <mergeCells count="6">
    <mergeCell ref="B36:B37"/>
    <mergeCell ref="C36:J37"/>
    <mergeCell ref="B38:B39"/>
    <mergeCell ref="C38:J39"/>
    <mergeCell ref="B34:B35"/>
    <mergeCell ref="C34:J35"/>
  </mergeCells>
  <conditionalFormatting sqref="C19:J19">
    <cfRule type="cellIs" dxfId="1" priority="2" operator="lessThanOrEqual">
      <formula>2.6</formula>
    </cfRule>
  </conditionalFormatting>
  <conditionalFormatting sqref="C28:J28">
    <cfRule type="cellIs" dxfId="0" priority="1" operator="lessThanOrEqual">
      <formula>0.65</formula>
    </cfRule>
  </conditionalFormatting>
  <dataValidations count="1">
    <dataValidation type="decimal" errorStyle="warning" allowBlank="1" showInputMessage="1" showErrorMessage="1" error="This calculator is based on data between 11 and 150 kg. It is not recommended to use for body weight outside of this range." sqref="C5:J6" xr:uid="{C95B7DDF-4A49-4D4A-BD00-BDA124B1FDB6}">
      <formula1>11</formula1>
      <formula2>150</formula2>
    </dataValidation>
  </dataValidations>
  <pageMargins left="0.7" right="0.7" top="0.75" bottom="0.75" header="0.3" footer="0.3"/>
  <pageSetup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EAF373780252469D8E713F107C0349" ma:contentTypeVersion="13" ma:contentTypeDescription="Create a new document." ma:contentTypeScope="" ma:versionID="0b305c50259751f81ea6179a843b316a">
  <xsd:schema xmlns:xsd="http://www.w3.org/2001/XMLSchema" xmlns:xs="http://www.w3.org/2001/XMLSchema" xmlns:p="http://schemas.microsoft.com/office/2006/metadata/properties" xmlns:ns2="6c38bb5c-9d9c-4a98-8d9b-c47eab1446c3" xmlns:ns3="35db4dd3-d965-4f48-9195-5e09433551f3" targetNamespace="http://schemas.microsoft.com/office/2006/metadata/properties" ma:root="true" ma:fieldsID="71911656afef29632e1daf1c0e687c6c" ns2:_="" ns3:_="">
    <xsd:import namespace="6c38bb5c-9d9c-4a98-8d9b-c47eab1446c3"/>
    <xsd:import namespace="35db4dd3-d965-4f48-9195-5e09433551f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38bb5c-9d9c-4a98-8d9b-c47eab1446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db4dd3-d965-4f48-9195-5e09433551f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5db4dd3-d965-4f48-9195-5e09433551f3">
      <UserInfo>
        <DisplayName/>
        <AccountId xsi:nil="true"/>
        <AccountType/>
      </UserInfo>
    </SharedWithUsers>
  </documentManagement>
</p:properties>
</file>

<file path=customXml/itemProps1.xml><?xml version="1.0" encoding="utf-8"?>
<ds:datastoreItem xmlns:ds="http://schemas.openxmlformats.org/officeDocument/2006/customXml" ds:itemID="{DA014887-2A40-4C23-9E28-5107515E9F97}"/>
</file>

<file path=customXml/itemProps2.xml><?xml version="1.0" encoding="utf-8"?>
<ds:datastoreItem xmlns:ds="http://schemas.openxmlformats.org/officeDocument/2006/customXml" ds:itemID="{987ABCDE-47D8-4C06-82E0-94493092573D}"/>
</file>

<file path=customXml/itemProps3.xml><?xml version="1.0" encoding="utf-8"?>
<ds:datastoreItem xmlns:ds="http://schemas.openxmlformats.org/officeDocument/2006/customXml" ds:itemID="{53D52A4D-4FF6-4F40-9CE9-3B23C1E4E2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Imperial - NE</vt:lpstr>
      <vt:lpstr>Metric - NE</vt:lpstr>
    </vt:vector>
  </TitlesOfParts>
  <Company>Genus,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mgoncalves</dc:creator>
  <cp:lastModifiedBy>Ning Lu</cp:lastModifiedBy>
  <cp:lastPrinted>2019-01-01T10:17:16Z</cp:lastPrinted>
  <dcterms:created xsi:type="dcterms:W3CDTF">2016-02-24T09:53:59Z</dcterms:created>
  <dcterms:modified xsi:type="dcterms:W3CDTF">2021-05-03T04:13:00Z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0x01010092EAF373780252469D8E713F107C0349</vt:lpwstr>
  </property>
  <property fmtid="{D5CDD505-2E9C-101B-9397-08002B2CF9AE}" pid="3" name="Order">
    <vt:r8>1100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ies>
</file>