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3"/>
  <workbookPr defaultThemeVersion="124226"/>
  <mc:AlternateContent xmlns:mc="http://schemas.openxmlformats.org/markup-compatibility/2006">
    <mc:Choice Requires="x15">
      <x15ac:absPath xmlns:x15ac="http://schemas.microsoft.com/office/spreadsheetml/2010/11/ac" url="C:\Users\uorlando\Genus PLC\PIC-TechnicalResources - Tools\01. PIC LYSINE BIOLOGICAL AND ECONOMIC TOOLS\"/>
    </mc:Choice>
  </mc:AlternateContent>
  <xr:revisionPtr revIDLastSave="24" documentId="13_ncr:1_{30F8DDEF-99A5-4E83-B35C-0BA89CB8522C}" xr6:coauthVersionLast="47" xr6:coauthVersionMax="47" xr10:uidLastSave="{1799EC80-BABC-4106-B833-75B0E7A06C4F}"/>
  <workbookProtection workbookAlgorithmName="SHA-512" workbookHashValue="XsBYejgwlTVuSrEBYuhErWX/Q1DDxPBWcBxeKkNKu0rXWd08LnQUP1Enw+A8ciodzXnBWsLYPdVuoJ7r0GKHIA==" workbookSaltValue="wyC/CAkWjufU0b3TIQOEMA==" workbookSpinCount="100000" lockStructure="1"/>
  <bookViews>
    <workbookView xWindow="-57720" yWindow="-120" windowWidth="29040" windowHeight="15840" firstSheet="2" activeTab="2" xr2:uid="{00000000-000D-0000-FFFF-FFFF00000000}"/>
  </bookViews>
  <sheets>
    <sheet name="Instructions" sheetId="9" r:id="rId1"/>
    <sheet name="Imperial - ME" sheetId="10" r:id="rId2"/>
    <sheet name="Metric - ME" sheetId="6" r:id="rId3"/>
  </sheets>
  <definedNames>
    <definedName name="solver_adj" localSheetId="1" hidden="1">'Imperial - ME'!#REF!</definedName>
    <definedName name="solver_adj" localSheetId="0" hidden="1">Instructions!#REF!</definedName>
    <definedName name="solver_adj" localSheetId="2" hidden="1">'Metric - ME'!#REF!</definedName>
    <definedName name="solver_cvg" localSheetId="1" hidden="1">0.0001</definedName>
    <definedName name="solver_cvg" localSheetId="0" hidden="1">0.0001</definedName>
    <definedName name="solver_cvg" localSheetId="2" hidden="1">0.0001</definedName>
    <definedName name="solver_drv" localSheetId="1" hidden="1">1</definedName>
    <definedName name="solver_drv" localSheetId="0" hidden="1">1</definedName>
    <definedName name="solver_drv" localSheetId="2" hidden="1">1</definedName>
    <definedName name="solver_est" localSheetId="1" hidden="1">1</definedName>
    <definedName name="solver_est" localSheetId="0" hidden="1">1</definedName>
    <definedName name="solver_est" localSheetId="2" hidden="1">1</definedName>
    <definedName name="solver_itr" localSheetId="1" hidden="1">100</definedName>
    <definedName name="solver_itr" localSheetId="0" hidden="1">100</definedName>
    <definedName name="solver_itr" localSheetId="2" hidden="1">100</definedName>
    <definedName name="solver_lhs1" localSheetId="1" hidden="1">'Imperial - ME'!#REF!</definedName>
    <definedName name="solver_lhs1" localSheetId="0" hidden="1">Instructions!#REF!</definedName>
    <definedName name="solver_lhs1" localSheetId="2" hidden="1">'Metric - ME'!#REF!</definedName>
    <definedName name="solver_lhs2" localSheetId="1" hidden="1">'Imperial - ME'!#REF!</definedName>
    <definedName name="solver_lhs2" localSheetId="0" hidden="1">Instructions!#REF!</definedName>
    <definedName name="solver_lhs2" localSheetId="2" hidden="1">'Metric - ME'!#REF!</definedName>
    <definedName name="solver_lin" localSheetId="1" hidden="1">2</definedName>
    <definedName name="solver_lin" localSheetId="0" hidden="1">2</definedName>
    <definedName name="solver_lin" localSheetId="2" hidden="1">2</definedName>
    <definedName name="solver_neg" localSheetId="1" hidden="1">2</definedName>
    <definedName name="solver_neg" localSheetId="0" hidden="1">2</definedName>
    <definedName name="solver_neg" localSheetId="2" hidden="1">2</definedName>
    <definedName name="solver_num" localSheetId="1" hidden="1">2</definedName>
    <definedName name="solver_num" localSheetId="0" hidden="1">2</definedName>
    <definedName name="solver_num" localSheetId="2" hidden="1">2</definedName>
    <definedName name="solver_nwt" localSheetId="1" hidden="1">1</definedName>
    <definedName name="solver_nwt" localSheetId="0" hidden="1">1</definedName>
    <definedName name="solver_nwt" localSheetId="2" hidden="1">1</definedName>
    <definedName name="solver_opt" localSheetId="1" hidden="1">'Imperial - ME'!#REF!</definedName>
    <definedName name="solver_opt" localSheetId="0" hidden="1">Instructions!#REF!</definedName>
    <definedName name="solver_opt" localSheetId="2" hidden="1">'Metric - ME'!#REF!</definedName>
    <definedName name="solver_pre" localSheetId="1" hidden="1">0.000001</definedName>
    <definedName name="solver_pre" localSheetId="0" hidden="1">0.000001</definedName>
    <definedName name="solver_pre" localSheetId="2" hidden="1">0.000001</definedName>
    <definedName name="solver_rel1" localSheetId="1" hidden="1">2</definedName>
    <definedName name="solver_rel1" localSheetId="0" hidden="1">2</definedName>
    <definedName name="solver_rel1" localSheetId="2" hidden="1">2</definedName>
    <definedName name="solver_rel2" localSheetId="1" hidden="1">2</definedName>
    <definedName name="solver_rel2" localSheetId="0" hidden="1">2</definedName>
    <definedName name="solver_rel2" localSheetId="2" hidden="1">2</definedName>
    <definedName name="solver_rhs1" localSheetId="1" hidden="1">0</definedName>
    <definedName name="solver_rhs1" localSheetId="0" hidden="1">0</definedName>
    <definedName name="solver_rhs1" localSheetId="2" hidden="1">0</definedName>
    <definedName name="solver_rhs2" localSheetId="1" hidden="1">0</definedName>
    <definedName name="solver_rhs2" localSheetId="0" hidden="1">0</definedName>
    <definedName name="solver_rhs2" localSheetId="2" hidden="1">0</definedName>
    <definedName name="solver_scl" localSheetId="1" hidden="1">2</definedName>
    <definedName name="solver_scl" localSheetId="0" hidden="1">2</definedName>
    <definedName name="solver_scl" localSheetId="2" hidden="1">2</definedName>
    <definedName name="solver_sho" localSheetId="1" hidden="1">2</definedName>
    <definedName name="solver_sho" localSheetId="0" hidden="1">2</definedName>
    <definedName name="solver_sho" localSheetId="2" hidden="1">2</definedName>
    <definedName name="solver_tim" localSheetId="1" hidden="1">100</definedName>
    <definedName name="solver_tim" localSheetId="0" hidden="1">100</definedName>
    <definedName name="solver_tim" localSheetId="2" hidden="1">100</definedName>
    <definedName name="solver_tol" localSheetId="1" hidden="1">0.05</definedName>
    <definedName name="solver_tol" localSheetId="0" hidden="1">0.05</definedName>
    <definedName name="solver_tol" localSheetId="2" hidden="1">0.05</definedName>
    <definedName name="solver_typ" localSheetId="1" hidden="1">2</definedName>
    <definedName name="solver_typ" localSheetId="0" hidden="1">2</definedName>
    <definedName name="solver_typ" localSheetId="2" hidden="1">2</definedName>
    <definedName name="solver_val" localSheetId="1" hidden="1">0</definedName>
    <definedName name="solver_val" localSheetId="0" hidden="1">0</definedName>
    <definedName name="solver_val" localSheetId="2" hidden="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6" l="1"/>
  <c r="D5" i="6"/>
  <c r="E5" i="6"/>
  <c r="F5" i="6"/>
  <c r="G5" i="6"/>
  <c r="C5" i="6"/>
  <c r="E31" i="10"/>
  <c r="F31" i="10"/>
  <c r="G31" i="10"/>
  <c r="H31" i="10"/>
  <c r="I31" i="10"/>
  <c r="J31" i="10"/>
  <c r="E30" i="6"/>
  <c r="F30" i="6"/>
  <c r="G30" i="6"/>
  <c r="H30" i="6"/>
  <c r="I30" i="6"/>
  <c r="J30" i="6"/>
  <c r="J19" i="6" l="1"/>
  <c r="E20" i="10"/>
  <c r="F20" i="10"/>
  <c r="G20" i="10"/>
  <c r="H20" i="10"/>
  <c r="I20" i="10"/>
  <c r="J20" i="10"/>
  <c r="J27" i="6" l="1"/>
  <c r="C12" i="10" l="1"/>
  <c r="C8" i="10"/>
  <c r="C22" i="10" s="1"/>
  <c r="D8" i="10"/>
  <c r="D22" i="10" s="1"/>
  <c r="C9" i="10"/>
  <c r="D9" i="10"/>
  <c r="J21" i="6"/>
  <c r="J22" i="6"/>
  <c r="J20" i="6" l="1"/>
  <c r="J3" i="6"/>
  <c r="E9" i="10"/>
  <c r="F9" i="10"/>
  <c r="G9" i="10"/>
  <c r="H9" i="10"/>
  <c r="I9" i="10"/>
  <c r="J9" i="10"/>
  <c r="D10" i="10"/>
  <c r="D23" i="10" s="1"/>
  <c r="D4" i="10" s="1"/>
  <c r="E8" i="10"/>
  <c r="F8" i="10"/>
  <c r="G8" i="10"/>
  <c r="H8" i="10"/>
  <c r="I8" i="10"/>
  <c r="J8" i="10"/>
  <c r="J22" i="10" s="1"/>
  <c r="D21" i="10" l="1"/>
  <c r="J10" i="10"/>
  <c r="C10" i="10"/>
  <c r="C23" i="10" s="1"/>
  <c r="F10" i="10"/>
  <c r="F23" i="10" s="1"/>
  <c r="F22" i="10"/>
  <c r="G10" i="10"/>
  <c r="G23" i="10" s="1"/>
  <c r="G22" i="10"/>
  <c r="I10" i="10"/>
  <c r="I23" i="10" s="1"/>
  <c r="I22" i="10"/>
  <c r="E10" i="10"/>
  <c r="E23" i="10" s="1"/>
  <c r="E22" i="10"/>
  <c r="H10" i="10"/>
  <c r="H23" i="10" s="1"/>
  <c r="H22" i="10"/>
  <c r="J29" i="6"/>
  <c r="E4" i="10" l="1"/>
  <c r="J23" i="10"/>
  <c r="B36" i="10" s="1"/>
  <c r="C36" i="10" s="1"/>
  <c r="H4" i="10"/>
  <c r="I4" i="10"/>
  <c r="F4" i="10"/>
  <c r="G4" i="10"/>
  <c r="C21" i="10"/>
  <c r="C30" i="10" s="1"/>
  <c r="C4" i="10"/>
  <c r="G21" i="10"/>
  <c r="E21" i="10"/>
  <c r="I21" i="10"/>
  <c r="F21" i="10"/>
  <c r="H21" i="10"/>
  <c r="D12" i="10"/>
  <c r="E12" i="10"/>
  <c r="F12" i="10"/>
  <c r="G12" i="10"/>
  <c r="H12" i="10"/>
  <c r="I12" i="10"/>
  <c r="J12" i="10"/>
  <c r="D13" i="10"/>
  <c r="E13" i="10"/>
  <c r="F13" i="10"/>
  <c r="G13" i="10"/>
  <c r="H13" i="10"/>
  <c r="I13" i="10"/>
  <c r="J13" i="10"/>
  <c r="C13" i="10"/>
  <c r="C7" i="6"/>
  <c r="C21" i="6" s="1"/>
  <c r="D7" i="6"/>
  <c r="D21" i="6" s="1"/>
  <c r="E7" i="6"/>
  <c r="E21" i="6" s="1"/>
  <c r="F7" i="6"/>
  <c r="F21" i="6" s="1"/>
  <c r="G7" i="6"/>
  <c r="G21" i="6" s="1"/>
  <c r="H7" i="6"/>
  <c r="H21" i="6" s="1"/>
  <c r="I7" i="6"/>
  <c r="I21" i="6" s="1"/>
  <c r="J7" i="6"/>
  <c r="D8" i="6"/>
  <c r="E8" i="6"/>
  <c r="F8" i="6"/>
  <c r="G8" i="6"/>
  <c r="H8" i="6"/>
  <c r="I8" i="6"/>
  <c r="J8" i="6"/>
  <c r="C8" i="6"/>
  <c r="J4" i="10" l="1"/>
  <c r="J21" i="10"/>
  <c r="J30" i="10" s="1"/>
  <c r="J9" i="6"/>
  <c r="J14" i="10"/>
  <c r="I14" i="10"/>
  <c r="H14" i="10"/>
  <c r="F14" i="10"/>
  <c r="E14" i="10"/>
  <c r="D14" i="10"/>
  <c r="F9" i="6"/>
  <c r="G14" i="10"/>
  <c r="C14" i="10"/>
  <c r="I9" i="6"/>
  <c r="E9" i="6"/>
  <c r="E22" i="6" s="1"/>
  <c r="E3" i="6" s="1"/>
  <c r="H9" i="6"/>
  <c r="D9" i="6"/>
  <c r="D22" i="6" s="1"/>
  <c r="G9" i="6"/>
  <c r="C9" i="6"/>
  <c r="I11" i="6"/>
  <c r="J11" i="6"/>
  <c r="I12" i="6"/>
  <c r="J12" i="6"/>
  <c r="J13" i="6" l="1"/>
  <c r="J18" i="10"/>
  <c r="J19" i="10" s="1"/>
  <c r="J17" i="10"/>
  <c r="J26" i="10" s="1"/>
  <c r="D20" i="6"/>
  <c r="D29" i="6" s="1"/>
  <c r="D3" i="6"/>
  <c r="C22" i="6"/>
  <c r="C17" i="10"/>
  <c r="H22" i="6"/>
  <c r="E20" i="6"/>
  <c r="E29" i="6" s="1"/>
  <c r="G22" i="6"/>
  <c r="I22" i="6"/>
  <c r="F22" i="6"/>
  <c r="I13" i="6"/>
  <c r="J16" i="6"/>
  <c r="J17" i="6"/>
  <c r="J18" i="6" s="1"/>
  <c r="J26" i="6"/>
  <c r="J28" i="10" l="1"/>
  <c r="J27" i="10"/>
  <c r="J29" i="10"/>
  <c r="I20" i="6"/>
  <c r="I29" i="6" s="1"/>
  <c r="I3" i="6"/>
  <c r="G20" i="6"/>
  <c r="G29" i="6" s="1"/>
  <c r="G3" i="6"/>
  <c r="C20" i="6"/>
  <c r="C29" i="6" s="1"/>
  <c r="B35" i="6"/>
  <c r="C35" i="6" s="1"/>
  <c r="C3" i="6"/>
  <c r="F20" i="6"/>
  <c r="F29" i="6" s="1"/>
  <c r="F3" i="6"/>
  <c r="H20" i="6"/>
  <c r="H29" i="6" s="1"/>
  <c r="H3" i="6"/>
  <c r="C26" i="10"/>
  <c r="C18" i="10"/>
  <c r="C20" i="10" s="1"/>
  <c r="E30" i="10"/>
  <c r="E17" i="10"/>
  <c r="E26" i="10" s="1"/>
  <c r="E18" i="10"/>
  <c r="G30" i="10"/>
  <c r="G17" i="10"/>
  <c r="G26" i="10" s="1"/>
  <c r="G18" i="10"/>
  <c r="I30" i="10"/>
  <c r="I17" i="10"/>
  <c r="I26" i="10" s="1"/>
  <c r="I18" i="10"/>
  <c r="D30" i="10"/>
  <c r="D18" i="10"/>
  <c r="D19" i="10" s="1"/>
  <c r="D17" i="10"/>
  <c r="F30" i="10"/>
  <c r="F17" i="10"/>
  <c r="F26" i="10" s="1"/>
  <c r="F18" i="10"/>
  <c r="H30" i="10"/>
  <c r="H18" i="10"/>
  <c r="H17" i="10"/>
  <c r="H26" i="10" s="1"/>
  <c r="J25" i="6"/>
  <c r="J28" i="6"/>
  <c r="D26" i="10" l="1"/>
  <c r="D20" i="10"/>
  <c r="I19" i="10"/>
  <c r="I28" i="10" s="1"/>
  <c r="I17" i="6"/>
  <c r="I18" i="6" s="1"/>
  <c r="I27" i="6" s="1"/>
  <c r="I16" i="6"/>
  <c r="C19" i="10"/>
  <c r="F19" i="10"/>
  <c r="F28" i="10" s="1"/>
  <c r="E19" i="10"/>
  <c r="E28" i="10" s="1"/>
  <c r="G19" i="10"/>
  <c r="G28" i="10" s="1"/>
  <c r="H19" i="10"/>
  <c r="H28" i="10" s="1"/>
  <c r="D29" i="10"/>
  <c r="D28" i="10"/>
  <c r="D27" i="10"/>
  <c r="E27" i="10"/>
  <c r="H29" i="10"/>
  <c r="H27" i="10"/>
  <c r="I27" i="10"/>
  <c r="C27" i="10"/>
  <c r="F27" i="10"/>
  <c r="G29" i="10"/>
  <c r="G27" i="10"/>
  <c r="J32" i="10"/>
  <c r="J31" i="6"/>
  <c r="I25" i="6" l="1"/>
  <c r="I19" i="6"/>
  <c r="D31" i="10"/>
  <c r="B38" i="10"/>
  <c r="C38" i="10" s="1"/>
  <c r="C28" i="10"/>
  <c r="I28" i="6"/>
  <c r="I26" i="6"/>
  <c r="D32" i="10"/>
  <c r="C32" i="10"/>
  <c r="C29" i="10"/>
  <c r="C31" i="10" s="1"/>
  <c r="G32" i="10"/>
  <c r="H32" i="10"/>
  <c r="F29" i="10"/>
  <c r="F32" i="10"/>
  <c r="I29" i="10"/>
  <c r="I32" i="10"/>
  <c r="E29" i="10"/>
  <c r="E32" i="10"/>
  <c r="B28" i="10" l="1"/>
  <c r="B19" i="10"/>
  <c r="I31" i="6"/>
  <c r="C12" i="6"/>
  <c r="D11" i="6"/>
  <c r="E11" i="6"/>
  <c r="F11" i="6"/>
  <c r="G11" i="6"/>
  <c r="H11" i="6"/>
  <c r="D12" i="6"/>
  <c r="E12" i="6"/>
  <c r="F12" i="6"/>
  <c r="G12" i="6"/>
  <c r="H12" i="6"/>
  <c r="C11" i="6"/>
  <c r="C13" i="6" l="1"/>
  <c r="C16" i="6" s="1"/>
  <c r="F13" i="6"/>
  <c r="F16" i="6" s="1"/>
  <c r="E13" i="6"/>
  <c r="H13" i="6"/>
  <c r="D13" i="6"/>
  <c r="G13" i="6"/>
  <c r="C17" i="6" l="1"/>
  <c r="C18" i="6" s="1"/>
  <c r="F17" i="6"/>
  <c r="F18" i="6" s="1"/>
  <c r="F27" i="6" s="1"/>
  <c r="G16" i="6"/>
  <c r="G17" i="6"/>
  <c r="G18" i="6" s="1"/>
  <c r="G27" i="6" s="1"/>
  <c r="H17" i="6"/>
  <c r="H18" i="6" s="1"/>
  <c r="H27" i="6" s="1"/>
  <c r="H16" i="6"/>
  <c r="D17" i="6"/>
  <c r="D16" i="6"/>
  <c r="E17" i="6"/>
  <c r="E18" i="6" s="1"/>
  <c r="E16" i="6"/>
  <c r="C25" i="6"/>
  <c r="F25" i="6"/>
  <c r="H25" i="6" l="1"/>
  <c r="H19" i="6"/>
  <c r="G25" i="6"/>
  <c r="G19" i="6"/>
  <c r="F19" i="6"/>
  <c r="E25" i="6"/>
  <c r="E19" i="6"/>
  <c r="C19" i="6"/>
  <c r="D25" i="6"/>
  <c r="D19" i="6"/>
  <c r="D28" i="6" s="1"/>
  <c r="C26" i="6"/>
  <c r="C31" i="6"/>
  <c r="C27" i="6"/>
  <c r="D18" i="6"/>
  <c r="D27" i="6" s="1"/>
  <c r="E26" i="6"/>
  <c r="E27" i="6"/>
  <c r="F26" i="6"/>
  <c r="H26" i="6"/>
  <c r="G26" i="6"/>
  <c r="D26" i="6"/>
  <c r="F28" i="6"/>
  <c r="G28" i="6"/>
  <c r="E28" i="6"/>
  <c r="D30" i="6" l="1"/>
  <c r="B37" i="6"/>
  <c r="C28" i="6"/>
  <c r="C30" i="6" s="1"/>
  <c r="H31" i="6"/>
  <c r="H28" i="6"/>
  <c r="E31" i="6"/>
  <c r="G31" i="6"/>
  <c r="F31" i="6"/>
  <c r="D31" i="6"/>
  <c r="C37" i="6" l="1"/>
  <c r="B27" i="6"/>
  <c r="B18" i="6"/>
</calcChain>
</file>

<file path=xl/sharedStrings.xml><?xml version="1.0" encoding="utf-8"?>
<sst xmlns="http://schemas.openxmlformats.org/spreadsheetml/2006/main" count="46" uniqueCount="18">
  <si>
    <t>Energy level, NRC ME kcal/lb</t>
  </si>
  <si>
    <t>Weight In, lb</t>
  </si>
  <si>
    <t>Weight Out, lb</t>
  </si>
  <si>
    <t>Weight In, kg</t>
  </si>
  <si>
    <t>Weight Out, kg</t>
  </si>
  <si>
    <t>SID Lys, grams:Mcal ME</t>
  </si>
  <si>
    <t xml:space="preserve">     Barrows</t>
  </si>
  <si>
    <t xml:space="preserve">     Gilts</t>
  </si>
  <si>
    <t xml:space="preserve">     Boars</t>
  </si>
  <si>
    <t xml:space="preserve">     Barrows and Gilts</t>
  </si>
  <si>
    <t xml:space="preserve">85% of PIC as min @beginning </t>
  </si>
  <si>
    <t>100% of PIC on average</t>
  </si>
  <si>
    <t>SID Lys, % of the diet</t>
  </si>
  <si>
    <t xml:space="preserve">     Boars and Gilts</t>
  </si>
  <si>
    <t>% SID Lys (Boars:Barrows)</t>
  </si>
  <si>
    <t>α</t>
  </si>
  <si>
    <t>The SID Lys to energy ratios meet the biological requirements for PIC 327, 337, and 359 sired pigs. PIC suggests to utilize 99% of the tool estimates for PIC 380, 408, and 410 sired pigs; and 97% for PIC 800 sired pigs to achieve the biological requirements of these sirelines.</t>
  </si>
  <si>
    <t>Energy level, NRC ME kcal/kg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</si>
</sst>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11"/>
      <color rgb="FFFF0000"/>
      <name val="Calibri"/>
      <family val="2"/>
      <scheme val="minor"/>
    </font>
    <font>
      <b/>
      <sz val="12"/>
      <color rgb="FFFF0000"/>
      <name val="Calibri"/>
      <family val="2"/>
      <scheme val="minor"/>
    </font>
    <font>
      <b/>
      <sz val="16"/>
      <color rgb="FFFF0000"/>
      <name val="Calibri"/>
      <family val="2"/>
      <scheme val="minor"/>
    </font>
    <font>
      <b/>
      <sz val="10"/>
      <color rgb="FF0070C0"/>
      <name val="Calibri"/>
      <family val="2"/>
      <scheme val="minor"/>
    </font>
    <font>
      <b/>
      <sz val="16"/>
      <color rgb="FF0070C0"/>
      <name val="Calibri"/>
      <family val="2"/>
    </font>
    <font>
      <b/>
      <sz val="16"/>
      <color rgb="FF0070C0"/>
      <name val="Calibri"/>
      <family val="2"/>
      <scheme val="minor"/>
    </font>
    <font>
      <b/>
      <vertAlign val="superscript"/>
      <sz val="16"/>
      <color rgb="FF0070C0"/>
      <name val="Calibri"/>
      <family val="2"/>
      <scheme val="minor"/>
    </font>
  </fonts>
  <fills count="3">
    <fill>
      <patternFill patternType="none"/>
    </fill>
    <fill>
      <patternFill patternType="gray125"/>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30">
    <xf numFmtId="0" fontId="0" fillId="0" borderId="0" xfId="0"/>
    <xf numFmtId="0" fontId="0" fillId="0" borderId="0" xfId="0" applyAlignment="1">
      <alignment horizontal="center"/>
    </xf>
    <xf numFmtId="1" fontId="0" fillId="2" borderId="1" xfId="0" applyNumberFormat="1" applyFill="1" applyBorder="1" applyAlignment="1" applyProtection="1">
      <alignment horizontal="center"/>
      <protection locked="0"/>
    </xf>
    <xf numFmtId="0" fontId="0" fillId="0" borderId="0" xfId="0" applyAlignment="1">
      <alignment horizontal="left"/>
    </xf>
    <xf numFmtId="2" fontId="0" fillId="0" borderId="1" xfId="0" applyNumberFormat="1" applyBorder="1" applyAlignment="1" applyProtection="1">
      <alignment horizontal="center"/>
      <protection hidden="1"/>
    </xf>
    <xf numFmtId="2" fontId="2" fillId="0" borderId="1" xfId="0" applyNumberFormat="1" applyFont="1" applyBorder="1" applyAlignment="1" applyProtection="1">
      <alignment horizontal="center"/>
      <protection hidden="1"/>
    </xf>
    <xf numFmtId="0" fontId="2" fillId="0" borderId="0" xfId="0" applyFont="1" applyAlignment="1">
      <alignment horizontal="center"/>
    </xf>
    <xf numFmtId="0" fontId="2" fillId="0" borderId="0" xfId="0" applyFont="1"/>
    <xf numFmtId="0" fontId="0" fillId="0" borderId="0" xfId="0" applyProtection="1">
      <protection hidden="1"/>
    </xf>
    <xf numFmtId="0" fontId="0" fillId="0" borderId="0" xfId="0" applyAlignment="1" applyProtection="1">
      <alignment horizontal="center"/>
      <protection hidden="1"/>
    </xf>
    <xf numFmtId="0" fontId="1" fillId="0" borderId="0" xfId="0" applyFont="1" applyProtection="1">
      <protection hidden="1"/>
    </xf>
    <xf numFmtId="1" fontId="0" fillId="0" borderId="1" xfId="0" applyNumberFormat="1" applyBorder="1" applyAlignment="1" applyProtection="1">
      <alignment horizontal="center"/>
      <protection hidden="1"/>
    </xf>
    <xf numFmtId="164" fontId="0" fillId="0" borderId="0" xfId="0" applyNumberFormat="1" applyAlignment="1" applyProtection="1">
      <alignment horizontal="center"/>
      <protection hidden="1"/>
    </xf>
    <xf numFmtId="0" fontId="2" fillId="0" borderId="0" xfId="0" applyFont="1" applyProtection="1">
      <protection hidden="1"/>
    </xf>
    <xf numFmtId="0" fontId="2" fillId="0" borderId="0" xfId="0" applyFont="1" applyAlignment="1" applyProtection="1">
      <alignment horizontal="center"/>
      <protection hidden="1"/>
    </xf>
    <xf numFmtId="0" fontId="4" fillId="0" borderId="0" xfId="0" applyFont="1" applyProtection="1">
      <protection hidden="1"/>
    </xf>
    <xf numFmtId="10" fontId="2" fillId="0" borderId="0" xfId="1" applyNumberFormat="1" applyFont="1" applyFill="1" applyBorder="1" applyAlignment="1" applyProtection="1">
      <alignment horizontal="center"/>
      <protection hidden="1"/>
    </xf>
    <xf numFmtId="0" fontId="0" fillId="0" borderId="0" xfId="0" quotePrefix="1" applyAlignment="1" applyProtection="1">
      <alignment horizontal="center"/>
      <protection hidden="1"/>
    </xf>
    <xf numFmtId="1" fontId="0" fillId="0" borderId="0" xfId="0" applyNumberFormat="1" applyAlignment="1" applyProtection="1">
      <alignment horizontal="center"/>
      <protection hidden="1"/>
    </xf>
    <xf numFmtId="10" fontId="0" fillId="0" borderId="0" xfId="1" applyNumberFormat="1" applyFont="1" applyFill="1" applyBorder="1" applyAlignment="1" applyProtection="1">
      <alignment horizontal="center"/>
      <protection hidden="1"/>
    </xf>
    <xf numFmtId="2" fontId="2" fillId="0" borderId="0" xfId="0" applyNumberFormat="1" applyFont="1" applyAlignment="1" applyProtection="1">
      <alignment horizontal="center"/>
      <protection hidden="1"/>
    </xf>
    <xf numFmtId="0" fontId="6" fillId="0" borderId="0" xfId="0" applyFont="1" applyAlignment="1" applyProtection="1">
      <alignment horizontal="center"/>
      <protection hidden="1"/>
    </xf>
    <xf numFmtId="0" fontId="5" fillId="0" borderId="0" xfId="0" applyFont="1" applyAlignment="1" applyProtection="1">
      <alignment wrapText="1"/>
      <protection hidden="1"/>
    </xf>
    <xf numFmtId="0" fontId="7" fillId="0" borderId="0" xfId="0" applyFont="1" applyAlignment="1" applyProtection="1">
      <alignment horizontal="center" vertical="center"/>
      <protection hidden="1"/>
    </xf>
    <xf numFmtId="0" fontId="5" fillId="0" borderId="0" xfId="0" applyFont="1" applyAlignment="1" applyProtection="1">
      <alignment horizontal="left" wrapText="1"/>
      <protection hidden="1"/>
    </xf>
    <xf numFmtId="0" fontId="5" fillId="0" borderId="0" xfId="0" applyFont="1" applyAlignment="1" applyProtection="1">
      <alignment vertical="top" wrapText="1"/>
      <protection hidden="1"/>
    </xf>
    <xf numFmtId="10" fontId="8" fillId="0" borderId="0" xfId="1" applyNumberFormat="1" applyFont="1" applyFill="1" applyBorder="1" applyAlignment="1" applyProtection="1">
      <alignment horizontal="left" vertical="center" wrapText="1"/>
      <protection hidden="1"/>
    </xf>
    <xf numFmtId="0" fontId="11" fillId="0" borderId="0" xfId="0" applyFont="1" applyAlignment="1">
      <alignment horizontal="center" vertical="center" wrapText="1"/>
    </xf>
    <xf numFmtId="0" fontId="9"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cellXfs>
  <cellStyles count="2">
    <cellStyle name="Normal" xfId="0" builtinId="0"/>
    <cellStyle name="Percent" xfId="1" builtinId="5"/>
  </cellStyles>
  <dxfs count="4">
    <dxf>
      <font>
        <b/>
        <i val="0"/>
        <color rgb="FFFF0000"/>
      </font>
    </dxf>
    <dxf>
      <font>
        <b/>
        <i val="0"/>
        <color rgb="FFFF0000"/>
      </font>
    </dxf>
    <dxf>
      <font>
        <b/>
        <i val="0"/>
        <color rgb="FFFF0000"/>
      </font>
      <fill>
        <patternFill>
          <bgColor theme="0"/>
        </patternFill>
      </fill>
    </dxf>
    <dxf>
      <font>
        <b/>
        <i val="0"/>
        <color rgb="FFFF000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396241</xdr:colOff>
      <xdr:row>6</xdr:row>
      <xdr:rowOff>148590</xdr:rowOff>
    </xdr:from>
    <xdr:ext cx="7766684" cy="7324697"/>
    <xdr:sp macro="" textlink="">
      <xdr:nvSpPr>
        <xdr:cNvPr id="4" name="TextBox 3">
          <a:extLst>
            <a:ext uri="{FF2B5EF4-FFF2-40B4-BE49-F238E27FC236}">
              <a16:creationId xmlns:a16="http://schemas.microsoft.com/office/drawing/2014/main" id="{803083EE-FA53-4594-9D1B-A6040BFF9FAD}"/>
            </a:ext>
          </a:extLst>
        </xdr:cNvPr>
        <xdr:cNvSpPr txBox="1"/>
      </xdr:nvSpPr>
      <xdr:spPr>
        <a:xfrm>
          <a:off x="396241" y="1386840"/>
          <a:ext cx="7766684" cy="73246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u="none" strike="noStrike">
              <a:solidFill>
                <a:schemeClr val="tx1"/>
              </a:solidFill>
              <a:effectLst/>
              <a:latin typeface="+mn-lt"/>
              <a:ea typeface="+mn-ea"/>
              <a:cs typeface="+mn-cs"/>
            </a:rPr>
            <a:t>Steps to use:</a:t>
          </a:r>
        </a:p>
        <a:p>
          <a:endParaRPr lang="en-US" sz="1400" b="1" i="0" u="none" strike="noStrike">
            <a:solidFill>
              <a:schemeClr val="tx1"/>
            </a:solidFill>
            <a:effectLst/>
            <a:latin typeface="+mn-lt"/>
            <a:ea typeface="+mn-ea"/>
            <a:cs typeface="+mn-cs"/>
          </a:endParaRPr>
        </a:p>
        <a:p>
          <a:r>
            <a:rPr lang="en-US" sz="1400" b="0" i="0" u="none" strike="noStrike">
              <a:solidFill>
                <a:schemeClr val="tx1"/>
              </a:solidFill>
              <a:effectLst/>
              <a:latin typeface="+mn-lt"/>
              <a:ea typeface="+mn-ea"/>
              <a:cs typeface="+mn-cs"/>
            </a:rPr>
            <a:t>1. Select one of the two options:</a:t>
          </a:r>
        </a:p>
        <a:p>
          <a:r>
            <a:rPr lang="en-US" sz="1400" b="0" i="0" u="none" strike="noStrike">
              <a:solidFill>
                <a:schemeClr val="tx1"/>
              </a:solidFill>
              <a:effectLst/>
              <a:latin typeface="+mn-lt"/>
              <a:ea typeface="+mn-ea"/>
              <a:cs typeface="+mn-cs"/>
            </a:rPr>
            <a:t>	If using the</a:t>
          </a:r>
          <a:r>
            <a:rPr lang="en-US" sz="1400" b="0" i="0" u="none" strike="noStrike" baseline="0">
              <a:solidFill>
                <a:schemeClr val="tx1"/>
              </a:solidFill>
              <a:effectLst/>
              <a:latin typeface="+mn-lt"/>
              <a:ea typeface="+mn-ea"/>
              <a:cs typeface="+mn-cs"/>
            </a:rPr>
            <a:t> Imperial system on a </a:t>
          </a:r>
          <a:r>
            <a:rPr lang="en-US" sz="1400" b="0" i="0" u="none" strike="noStrike">
              <a:solidFill>
                <a:schemeClr val="tx1"/>
              </a:solidFill>
              <a:effectLst/>
              <a:latin typeface="+mn-lt"/>
              <a:ea typeface="+mn-ea"/>
              <a:cs typeface="+mn-cs"/>
            </a:rPr>
            <a:t>Metabolizable energy basis , go to the </a:t>
          </a:r>
          <a:r>
            <a:rPr lang="en-US" sz="1400" b="1" i="0" u="none" strike="noStrike">
              <a:solidFill>
                <a:schemeClr val="tx1"/>
              </a:solidFill>
              <a:effectLst/>
              <a:latin typeface="+mn-lt"/>
              <a:ea typeface="+mn-ea"/>
              <a:cs typeface="+mn-cs"/>
            </a:rPr>
            <a:t>Imperial - ME </a:t>
          </a:r>
          <a:r>
            <a:rPr lang="en-US" sz="1400" b="0" i="0" u="none" strike="noStrike">
              <a:solidFill>
                <a:schemeClr val="tx1"/>
              </a:solidFill>
              <a:effectLst/>
              <a:latin typeface="+mn-lt"/>
              <a:ea typeface="+mn-ea"/>
              <a:cs typeface="+mn-cs"/>
            </a:rPr>
            <a:t>tab.</a:t>
          </a:r>
          <a:r>
            <a:rPr lang="en-US" sz="1400"/>
            <a:t> </a:t>
          </a:r>
        </a:p>
        <a:p>
          <a:r>
            <a:rPr lang="en-US" sz="1400"/>
            <a:t>	If using the Metric system on a Metabolizable energy basis , go to the </a:t>
          </a:r>
          <a:r>
            <a:rPr lang="en-US" sz="1400" b="1"/>
            <a:t>Metric - ME </a:t>
          </a:r>
          <a:r>
            <a:rPr lang="en-US" sz="1400"/>
            <a:t>tab. </a:t>
          </a:r>
        </a:p>
        <a:p>
          <a:endParaRPr lang="en-US" sz="1400"/>
        </a:p>
        <a:p>
          <a:r>
            <a:rPr lang="en-US" sz="1400" b="0" i="0" u="none" strike="noStrike">
              <a:solidFill>
                <a:schemeClr val="tx1"/>
              </a:solidFill>
              <a:effectLst/>
              <a:latin typeface="+mn-lt"/>
              <a:ea typeface="+mn-ea"/>
              <a:cs typeface="+mn-cs"/>
            </a:rPr>
            <a:t>2. Enter the input parameters in the yellow cells:</a:t>
          </a:r>
          <a:r>
            <a:rPr lang="en-US" sz="1400"/>
            <a:t> </a:t>
          </a:r>
        </a:p>
        <a:p>
          <a:r>
            <a:rPr lang="en-US" sz="1400" b="0" i="0" u="none" strike="noStrike">
              <a:solidFill>
                <a:schemeClr val="tx1"/>
              </a:solidFill>
              <a:effectLst/>
              <a:latin typeface="+mn-lt"/>
              <a:ea typeface="+mn-ea"/>
              <a:cs typeface="+mn-cs"/>
            </a:rPr>
            <a:t>	Enter your desired body weight ranges for each phase </a:t>
          </a:r>
          <a:endParaRPr lang="en-US" sz="1400"/>
        </a:p>
        <a:p>
          <a:r>
            <a:rPr lang="en-US" sz="1400" b="0" i="0" u="none" strike="noStrike">
              <a:solidFill>
                <a:schemeClr val="tx1"/>
              </a:solidFill>
              <a:effectLst/>
              <a:latin typeface="+mn-lt"/>
              <a:ea typeface="+mn-ea"/>
              <a:cs typeface="+mn-cs"/>
            </a:rPr>
            <a:t>	Enter your current dietary energy level for each dietary phase.</a:t>
          </a:r>
          <a:r>
            <a:rPr lang="en-US" sz="1400"/>
            <a:t> </a:t>
          </a:r>
        </a:p>
        <a:p>
          <a:r>
            <a:rPr lang="en-US" sz="1400"/>
            <a:t>	</a:t>
          </a:r>
          <a:endParaRPr lang="en-US" sz="1400" b="1"/>
        </a:p>
        <a:p>
          <a:r>
            <a:rPr lang="en-US" sz="1400" b="1"/>
            <a:t>Outputs:</a:t>
          </a:r>
        </a:p>
        <a:p>
          <a:endParaRPr lang="en-US" sz="1400" b="1"/>
        </a:p>
        <a:p>
          <a:r>
            <a:rPr lang="en-US" sz="1400" b="0" i="0" u="none" strike="noStrike">
              <a:solidFill>
                <a:schemeClr val="tx1"/>
              </a:solidFill>
              <a:effectLst/>
              <a:latin typeface="+mn-lt"/>
              <a:ea typeface="+mn-ea"/>
              <a:cs typeface="+mn-cs"/>
            </a:rPr>
            <a:t>3. The tool outputs the grams of standardized</a:t>
          </a:r>
          <a:r>
            <a:rPr lang="en-US" sz="1400" b="0" i="0" u="none" strike="noStrike" baseline="0">
              <a:solidFill>
                <a:schemeClr val="tx1"/>
              </a:solidFill>
              <a:effectLst/>
              <a:latin typeface="+mn-lt"/>
              <a:ea typeface="+mn-ea"/>
              <a:cs typeface="+mn-cs"/>
            </a:rPr>
            <a:t> ileal digestible (SID) lysine (Lys) required by PIC barrows, gilts, boars, mixed gender with barrows and gilts within each body weight range. </a:t>
          </a:r>
        </a:p>
        <a:p>
          <a:r>
            <a:rPr lang="en-US" sz="1400" b="0" i="0" u="none" strike="noStrike" baseline="0">
              <a:solidFill>
                <a:schemeClr val="tx1"/>
              </a:solidFill>
              <a:effectLst/>
              <a:latin typeface="+mn-lt"/>
              <a:ea typeface="+mn-ea"/>
              <a:cs typeface="+mn-cs"/>
            </a:rPr>
            <a:t>4. If the energy level is entered, the tool outputs the SID Lys required by PIC pigs on a percentage of the diet basis. </a:t>
          </a:r>
        </a:p>
        <a:p>
          <a:r>
            <a:rPr lang="en-US" sz="1400" b="0" i="0" u="none" strike="noStrike" baseline="0">
              <a:solidFill>
                <a:schemeClr val="tx1"/>
              </a:solidFill>
              <a:effectLst/>
              <a:latin typeface="+mn-lt"/>
              <a:ea typeface="+mn-ea"/>
              <a:cs typeface="+mn-cs"/>
            </a:rPr>
            <a:t>Obs.: Use the SID Lys recommendations for boars until 3 to 4 weeks prior to market and then the SID Lys recommendations for barrows if using immunocastrated barrows. </a:t>
          </a:r>
        </a:p>
        <a:p>
          <a:endParaRPr lang="en-US" sz="1400" b="0" i="0" u="none" strike="noStrike" baseline="0">
            <a:solidFill>
              <a:schemeClr val="tx1"/>
            </a:solidFill>
            <a:effectLst/>
            <a:latin typeface="+mn-lt"/>
            <a:ea typeface="+mn-ea"/>
            <a:cs typeface="+mn-cs"/>
          </a:endParaRPr>
        </a:p>
        <a:p>
          <a:r>
            <a:rPr lang="en-US" sz="1400" b="1" i="0" u="none" strike="noStrike" baseline="0">
              <a:solidFill>
                <a:schemeClr val="tx1"/>
              </a:solidFill>
              <a:effectLst/>
              <a:latin typeface="+mn-lt"/>
              <a:ea typeface="+mn-ea"/>
              <a:cs typeface="+mn-cs"/>
            </a:rPr>
            <a:t>Background Information:</a:t>
          </a:r>
        </a:p>
        <a:p>
          <a:endParaRPr lang="en-US" sz="1400" b="1" i="0" u="none" strike="noStrike" baseline="0">
            <a:solidFill>
              <a:schemeClr val="tx1"/>
            </a:solidFill>
            <a:effectLst/>
            <a:latin typeface="+mn-lt"/>
            <a:ea typeface="+mn-ea"/>
            <a:cs typeface="+mn-cs"/>
          </a:endParaRPr>
        </a:p>
        <a:p>
          <a:r>
            <a:rPr lang="en-US" sz="1400" b="0" i="0" u="none" strike="noStrike" baseline="0">
              <a:solidFill>
                <a:schemeClr val="tx1"/>
              </a:solidFill>
              <a:effectLst/>
              <a:latin typeface="+mn-lt"/>
              <a:ea typeface="+mn-ea"/>
              <a:cs typeface="+mn-cs"/>
            </a:rPr>
            <a:t>	A meta-analysis based on 29 trials conducted between 2013 and 2020 under commercial conditions with 48,388 PIC pigs was developed to determine the SID Lys requirement of 11- to 150-kg (or 25- to 330-lb) pigs.</a:t>
          </a:r>
        </a:p>
        <a:p>
          <a:r>
            <a:rPr lang="en-US" sz="1400" b="0" i="0" u="none" strike="noStrike" baseline="0">
              <a:solidFill>
                <a:schemeClr val="tx1"/>
              </a:solidFill>
              <a:effectLst/>
              <a:latin typeface="+mn-lt"/>
              <a:ea typeface="+mn-ea"/>
              <a:cs typeface="+mn-cs"/>
            </a:rPr>
            <a:t>	The model was developed for mixed gender pigs (barrows and gilts) and the requirement of barrows and gilts were estimated based on the expected differences according to the PIC 337 growth curve. </a:t>
          </a:r>
        </a:p>
        <a:p>
          <a:r>
            <a:rPr lang="en-US" sz="1400" b="0" i="0" u="none" strike="noStrike" baseline="0">
              <a:solidFill>
                <a:schemeClr val="tx1"/>
              </a:solidFill>
              <a:effectLst/>
              <a:latin typeface="+mn-lt"/>
              <a:ea typeface="+mn-ea"/>
              <a:cs typeface="+mn-cs"/>
            </a:rPr>
            <a:t>	The requirement estimates represent the average between the requirement for average daily gain (ADG) and feed efficiency (G:F). At these levels, 100% of maximum ADG and 99.4% of maximum G:F is achieved.</a:t>
          </a:r>
        </a:p>
        <a:p>
          <a:r>
            <a:rPr lang="en-US" sz="1400" b="0" i="0" u="none" strike="noStrike" baseline="0">
              <a:solidFill>
                <a:schemeClr val="tx1"/>
              </a:solidFill>
              <a:effectLst/>
              <a:latin typeface="+mn-lt"/>
              <a:ea typeface="+mn-ea"/>
              <a:cs typeface="+mn-cs"/>
            </a:rPr>
            <a:t>	The energy value of ingredients followed NRC (2012) nutrient loadings. </a:t>
          </a:r>
        </a:p>
        <a:p>
          <a:endParaRPr lang="en-US" sz="1400" b="0" i="0" u="none" strike="noStrike" baseline="0">
            <a:solidFill>
              <a:schemeClr val="tx1"/>
            </a:solidFill>
            <a:effectLst/>
            <a:latin typeface="+mn-lt"/>
            <a:ea typeface="+mn-ea"/>
            <a:cs typeface="+mn-cs"/>
          </a:endParaRPr>
        </a:p>
        <a:p>
          <a:r>
            <a:rPr lang="en-US" sz="1400" b="1" i="0" u="none" strike="noStrike" baseline="0">
              <a:solidFill>
                <a:schemeClr val="tx1"/>
              </a:solidFill>
              <a:effectLst/>
              <a:latin typeface="+mn-lt"/>
              <a:ea typeface="+mn-ea"/>
              <a:cs typeface="+mn-cs"/>
            </a:rPr>
            <a:t>For questions on this tool please contact the PIC Nutrition Team.</a:t>
          </a:r>
          <a:endParaRPr lang="en-US" sz="1400" b="1" i="0" u="none" strike="noStrike">
            <a:solidFill>
              <a:schemeClr val="tx1"/>
            </a:solidFill>
            <a:effectLst/>
            <a:latin typeface="+mn-lt"/>
            <a:ea typeface="+mn-ea"/>
            <a:cs typeface="+mn-cs"/>
          </a:endParaRPr>
        </a:p>
      </xdr:txBody>
    </xdr:sp>
    <xdr:clientData/>
  </xdr:oneCellAnchor>
  <xdr:twoCellAnchor editAs="oneCell">
    <xdr:from>
      <xdr:col>0</xdr:col>
      <xdr:colOff>0</xdr:colOff>
      <xdr:row>0</xdr:row>
      <xdr:rowOff>0</xdr:rowOff>
    </xdr:from>
    <xdr:to>
      <xdr:col>11</xdr:col>
      <xdr:colOff>548640</xdr:colOff>
      <xdr:row>6</xdr:row>
      <xdr:rowOff>144002</xdr:rowOff>
    </xdr:to>
    <xdr:pic>
      <xdr:nvPicPr>
        <xdr:cNvPr id="6" name="Picture 5">
          <a:extLst>
            <a:ext uri="{FF2B5EF4-FFF2-40B4-BE49-F238E27FC236}">
              <a16:creationId xmlns:a16="http://schemas.microsoft.com/office/drawing/2014/main" id="{8BCFAE34-3DAE-461D-9CAC-E3D873F6BB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68640" cy="1382252"/>
        </a:xfrm>
        <a:prstGeom prst="rect">
          <a:avLst/>
        </a:prstGeom>
      </xdr:spPr>
    </xdr:pic>
    <xdr:clientData/>
  </xdr:twoCellAnchor>
  <xdr:twoCellAnchor>
    <xdr:from>
      <xdr:col>0</xdr:col>
      <xdr:colOff>1362075</xdr:colOff>
      <xdr:row>0</xdr:row>
      <xdr:rowOff>0</xdr:rowOff>
    </xdr:from>
    <xdr:to>
      <xdr:col>8</xdr:col>
      <xdr:colOff>428625</xdr:colOff>
      <xdr:row>5</xdr:row>
      <xdr:rowOff>94615</xdr:rowOff>
    </xdr:to>
    <xdr:sp macro="" textlink="">
      <xdr:nvSpPr>
        <xdr:cNvPr id="7" name="TextBox 6">
          <a:extLst>
            <a:ext uri="{FF2B5EF4-FFF2-40B4-BE49-F238E27FC236}">
              <a16:creationId xmlns:a16="http://schemas.microsoft.com/office/drawing/2014/main" id="{5A53EDB2-7E16-4E70-ADA6-D0672855F940}"/>
            </a:ext>
          </a:extLst>
        </xdr:cNvPr>
        <xdr:cNvSpPr txBox="1"/>
      </xdr:nvSpPr>
      <xdr:spPr>
        <a:xfrm>
          <a:off x="1362075" y="0"/>
          <a:ext cx="4857750" cy="1151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SID</a:t>
          </a:r>
          <a:r>
            <a:rPr lang="en-US" sz="2800" b="1" baseline="0">
              <a:solidFill>
                <a:srgbClr val="225480"/>
              </a:solidFill>
            </a:rPr>
            <a:t> Lysine Biological Requirement for PIC Pigs</a:t>
          </a:r>
          <a:endParaRPr lang="en-US" sz="2800" b="1">
            <a:solidFill>
              <a:srgbClr val="22548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16827</xdr:colOff>
      <xdr:row>1</xdr:row>
      <xdr:rowOff>2714</xdr:rowOff>
    </xdr:to>
    <xdr:pic>
      <xdr:nvPicPr>
        <xdr:cNvPr id="3" name="Picture 2">
          <a:extLst>
            <a:ext uri="{FF2B5EF4-FFF2-40B4-BE49-F238E27FC236}">
              <a16:creationId xmlns:a16="http://schemas.microsoft.com/office/drawing/2014/main" id="{9231BB73-2919-48DE-8A3A-E5D0379316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68640" cy="1391777"/>
        </a:xfrm>
        <a:prstGeom prst="rect">
          <a:avLst/>
        </a:prstGeom>
      </xdr:spPr>
    </xdr:pic>
    <xdr:clientData/>
  </xdr:twoCellAnchor>
  <xdr:twoCellAnchor>
    <xdr:from>
      <xdr:col>1</xdr:col>
      <xdr:colOff>791528</xdr:colOff>
      <xdr:row>0</xdr:row>
      <xdr:rowOff>0</xdr:rowOff>
    </xdr:from>
    <xdr:to>
      <xdr:col>7</xdr:col>
      <xdr:colOff>628650</xdr:colOff>
      <xdr:row>0</xdr:row>
      <xdr:rowOff>1161414</xdr:rowOff>
    </xdr:to>
    <xdr:sp macro="" textlink="">
      <xdr:nvSpPr>
        <xdr:cNvPr id="4" name="TextBox 3">
          <a:extLst>
            <a:ext uri="{FF2B5EF4-FFF2-40B4-BE49-F238E27FC236}">
              <a16:creationId xmlns:a16="http://schemas.microsoft.com/office/drawing/2014/main" id="{030D0048-0A57-4AAE-A1DB-F7425D720DAC}"/>
            </a:ext>
          </a:extLst>
        </xdr:cNvPr>
        <xdr:cNvSpPr txBox="1"/>
      </xdr:nvSpPr>
      <xdr:spPr>
        <a:xfrm>
          <a:off x="1401128" y="0"/>
          <a:ext cx="4898072" cy="1161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SID</a:t>
          </a:r>
          <a:r>
            <a:rPr lang="en-US" sz="2800" b="1" baseline="0">
              <a:solidFill>
                <a:srgbClr val="225480"/>
              </a:solidFill>
            </a:rPr>
            <a:t> Lysine Biological Requirement for PIC Pigs</a:t>
          </a:r>
          <a:r>
            <a:rPr lang="el-GR" sz="2800" b="1" baseline="30000">
              <a:solidFill>
                <a:srgbClr val="225480"/>
              </a:solidFill>
            </a:rPr>
            <a:t>α</a:t>
          </a:r>
          <a:endParaRPr lang="en-US" sz="2800" b="1" baseline="30000">
            <a:solidFill>
              <a:srgbClr val="22548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16827</xdr:colOff>
      <xdr:row>0</xdr:row>
      <xdr:rowOff>1391777</xdr:rowOff>
    </xdr:to>
    <xdr:pic>
      <xdr:nvPicPr>
        <xdr:cNvPr id="3" name="Picture 2">
          <a:extLst>
            <a:ext uri="{FF2B5EF4-FFF2-40B4-BE49-F238E27FC236}">
              <a16:creationId xmlns:a16="http://schemas.microsoft.com/office/drawing/2014/main" id="{FA68D1E8-8EC4-4192-B1BE-1B37BF73D1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72450" cy="1391777"/>
        </a:xfrm>
        <a:prstGeom prst="rect">
          <a:avLst/>
        </a:prstGeom>
      </xdr:spPr>
    </xdr:pic>
    <xdr:clientData/>
  </xdr:twoCellAnchor>
  <xdr:twoCellAnchor>
    <xdr:from>
      <xdr:col>1</xdr:col>
      <xdr:colOff>840104</xdr:colOff>
      <xdr:row>0</xdr:row>
      <xdr:rowOff>0</xdr:rowOff>
    </xdr:from>
    <xdr:to>
      <xdr:col>8</xdr:col>
      <xdr:colOff>14921</xdr:colOff>
      <xdr:row>0</xdr:row>
      <xdr:rowOff>1162685</xdr:rowOff>
    </xdr:to>
    <xdr:sp macro="" textlink="">
      <xdr:nvSpPr>
        <xdr:cNvPr id="5" name="TextBox 4">
          <a:extLst>
            <a:ext uri="{FF2B5EF4-FFF2-40B4-BE49-F238E27FC236}">
              <a16:creationId xmlns:a16="http://schemas.microsoft.com/office/drawing/2014/main" id="{0E658E98-F515-44C8-A66E-105FFE756899}"/>
            </a:ext>
          </a:extLst>
        </xdr:cNvPr>
        <xdr:cNvSpPr txBox="1"/>
      </xdr:nvSpPr>
      <xdr:spPr>
        <a:xfrm>
          <a:off x="1449704" y="0"/>
          <a:ext cx="4877117" cy="1162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SID</a:t>
          </a:r>
          <a:r>
            <a:rPr lang="en-US" sz="2800" b="1" baseline="0">
              <a:solidFill>
                <a:srgbClr val="225480"/>
              </a:solidFill>
            </a:rPr>
            <a:t> Lysine Biological Requirement for PIC Pigs</a:t>
          </a:r>
          <a:r>
            <a:rPr lang="el-GR" sz="2800" b="1" baseline="30000">
              <a:solidFill>
                <a:srgbClr val="225480"/>
              </a:solidFill>
            </a:rPr>
            <a:t>α</a:t>
          </a:r>
          <a:endParaRPr lang="en-US" sz="2800" b="1" baseline="30000">
            <a:solidFill>
              <a:srgbClr val="22548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5"/>
  <sheetViews>
    <sheetView showGridLines="0" showRowColHeaders="0" topLeftCell="A10" zoomScaleNormal="100" workbookViewId="0">
      <selection activeCell="M19" sqref="M19"/>
    </sheetView>
  </sheetViews>
  <sheetFormatPr defaultRowHeight="15"/>
  <cols>
    <col min="1" max="1" width="22.28515625" bestFit="1" customWidth="1"/>
    <col min="2" max="6" width="8.85546875" style="1"/>
  </cols>
  <sheetData>
    <row r="1" spans="2:6" s="7" customFormat="1" ht="24" customHeight="1">
      <c r="B1" s="6"/>
      <c r="C1" s="6"/>
      <c r="D1" s="6"/>
      <c r="E1" s="6"/>
      <c r="F1" s="6"/>
    </row>
    <row r="2" spans="2:6" s="7" customFormat="1" ht="24" customHeight="1">
      <c r="B2" s="6"/>
      <c r="C2" s="6"/>
      <c r="D2" s="6"/>
      <c r="E2" s="6"/>
      <c r="F2" s="6"/>
    </row>
    <row r="3" spans="2:6" s="7" customFormat="1" ht="10.15" customHeight="1">
      <c r="B3" s="6"/>
      <c r="C3" s="6"/>
      <c r="D3" s="6"/>
      <c r="E3" s="6"/>
      <c r="F3" s="6"/>
    </row>
    <row r="4" spans="2:6" s="7" customFormat="1" ht="10.15" customHeight="1">
      <c r="B4" s="6"/>
      <c r="C4" s="6"/>
      <c r="D4" s="6"/>
      <c r="E4" s="6"/>
      <c r="F4" s="6"/>
    </row>
    <row r="5" spans="2:6">
      <c r="B5" s="3"/>
    </row>
  </sheetData>
  <sheetProtection algorithmName="SHA-512" hashValue="DzTbS4xbCBmcy2yOUyqEAPlu2CjmZStHq+uPB2HRSlERYzhepzSOWir4kbQeP2VOiJE6aCCDEQnJwZXz2dt/cw==" saltValue="BpP7GT0kMjDXY5XplNCbt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3AC4A-243A-4C80-98E7-69F52ED46C0E}">
  <dimension ref="B1:K42"/>
  <sheetViews>
    <sheetView showGridLines="0" showRowColHeaders="0" zoomScale="115" zoomScaleNormal="115" workbookViewId="0">
      <selection activeCell="G3" sqref="G3"/>
    </sheetView>
  </sheetViews>
  <sheetFormatPr defaultColWidth="8.85546875" defaultRowHeight="15"/>
  <cols>
    <col min="1" max="1" width="8.85546875" style="8"/>
    <col min="2" max="2" width="27" style="8" customWidth="1"/>
    <col min="3" max="7" width="9.28515625" style="9" customWidth="1"/>
    <col min="8" max="10" width="9.28515625" style="8" customWidth="1"/>
    <col min="11" max="16384" width="8.85546875" style="8"/>
  </cols>
  <sheetData>
    <row r="1" spans="2:10" ht="109.9" customHeight="1"/>
    <row r="2" spans="2:10">
      <c r="B2" s="10"/>
      <c r="H2" s="9"/>
    </row>
    <row r="3" spans="2:10">
      <c r="B3" s="10" t="s">
        <v>0</v>
      </c>
      <c r="C3" s="2">
        <v>1400</v>
      </c>
      <c r="D3" s="2">
        <v>1400</v>
      </c>
      <c r="E3" s="2"/>
      <c r="F3" s="2"/>
      <c r="G3" s="2"/>
      <c r="H3" s="2"/>
      <c r="I3" s="2"/>
      <c r="J3" s="2"/>
    </row>
    <row r="4" spans="2:10" ht="15.75">
      <c r="C4" s="21" t="str">
        <f>IF(C23&lt;C22,"!", " ")</f>
        <v>!</v>
      </c>
      <c r="D4" s="21" t="str">
        <f t="shared" ref="D4:J4" si="0">IF(D23&lt;D22,"!", " ")</f>
        <v xml:space="preserve"> </v>
      </c>
      <c r="E4" s="21" t="str">
        <f t="shared" si="0"/>
        <v xml:space="preserve"> </v>
      </c>
      <c r="F4" s="21" t="str">
        <f t="shared" si="0"/>
        <v xml:space="preserve"> </v>
      </c>
      <c r="G4" s="21" t="str">
        <f t="shared" si="0"/>
        <v xml:space="preserve"> </v>
      </c>
      <c r="H4" s="21" t="str">
        <f t="shared" si="0"/>
        <v xml:space="preserve"> </v>
      </c>
      <c r="I4" s="21" t="str">
        <f t="shared" si="0"/>
        <v xml:space="preserve"> </v>
      </c>
      <c r="J4" s="21" t="str">
        <f t="shared" si="0"/>
        <v xml:space="preserve"> </v>
      </c>
    </row>
    <row r="5" spans="2:10">
      <c r="B5" s="10" t="s">
        <v>1</v>
      </c>
      <c r="C5" s="2">
        <v>25</v>
      </c>
      <c r="D5" s="2">
        <v>200</v>
      </c>
      <c r="E5" s="2"/>
      <c r="F5" s="2"/>
      <c r="G5" s="2"/>
      <c r="H5" s="2"/>
      <c r="I5" s="2"/>
      <c r="J5" s="2"/>
    </row>
    <row r="6" spans="2:10">
      <c r="B6" s="10" t="s">
        <v>2</v>
      </c>
      <c r="C6" s="2">
        <v>200</v>
      </c>
      <c r="D6" s="2">
        <v>330</v>
      </c>
      <c r="E6" s="2"/>
      <c r="F6" s="2"/>
      <c r="G6" s="2"/>
      <c r="H6" s="2"/>
      <c r="I6" s="2"/>
      <c r="J6" s="2"/>
    </row>
    <row r="8" spans="2:10" hidden="1">
      <c r="B8" s="8" t="s">
        <v>1</v>
      </c>
      <c r="C8" s="11">
        <f>IF(C5="","",C5)</f>
        <v>25</v>
      </c>
      <c r="D8" s="11">
        <f t="shared" ref="D8" si="1">IF(D5="","",D5)</f>
        <v>200</v>
      </c>
      <c r="E8" s="11" t="str">
        <f t="shared" ref="E8:J8" si="2">IF(E5="","",E5)</f>
        <v/>
      </c>
      <c r="F8" s="11" t="str">
        <f t="shared" si="2"/>
        <v/>
      </c>
      <c r="G8" s="11" t="str">
        <f t="shared" si="2"/>
        <v/>
      </c>
      <c r="H8" s="11" t="str">
        <f t="shared" si="2"/>
        <v/>
      </c>
      <c r="I8" s="11" t="str">
        <f t="shared" si="2"/>
        <v/>
      </c>
      <c r="J8" s="11" t="str">
        <f t="shared" si="2"/>
        <v/>
      </c>
    </row>
    <row r="9" spans="2:10" hidden="1">
      <c r="B9" s="8" t="s">
        <v>2</v>
      </c>
      <c r="C9" s="11">
        <f t="shared" ref="C9:D9" si="3">IF(C6="","",C6)</f>
        <v>200</v>
      </c>
      <c r="D9" s="11">
        <f t="shared" si="3"/>
        <v>330</v>
      </c>
      <c r="E9" s="11" t="str">
        <f t="shared" ref="E9:J9" si="4">IF(E6="","",E6)</f>
        <v/>
      </c>
      <c r="F9" s="11" t="str">
        <f t="shared" si="4"/>
        <v/>
      </c>
      <c r="G9" s="11" t="str">
        <f t="shared" si="4"/>
        <v/>
      </c>
      <c r="H9" s="11" t="str">
        <f t="shared" si="4"/>
        <v/>
      </c>
      <c r="I9" s="11" t="str">
        <f t="shared" si="4"/>
        <v/>
      </c>
      <c r="J9" s="11" t="str">
        <f t="shared" si="4"/>
        <v/>
      </c>
    </row>
    <row r="10" spans="2:10" hidden="1">
      <c r="C10" s="12">
        <f>IFERROR(IF(C8&gt;0,AVERAGE(C8:C9)," "),"")</f>
        <v>112.5</v>
      </c>
      <c r="D10" s="12">
        <f t="shared" ref="D10:J10" si="5">IFERROR(IF(D8&gt;0,AVERAGE(D8:D9)," "),"")</f>
        <v>265</v>
      </c>
      <c r="E10" s="12" t="str">
        <f t="shared" si="5"/>
        <v/>
      </c>
      <c r="F10" s="12" t="str">
        <f t="shared" si="5"/>
        <v/>
      </c>
      <c r="G10" s="12" t="str">
        <f t="shared" si="5"/>
        <v/>
      </c>
      <c r="H10" s="12" t="str">
        <f t="shared" si="5"/>
        <v/>
      </c>
      <c r="I10" s="12" t="str">
        <f t="shared" si="5"/>
        <v/>
      </c>
      <c r="J10" s="12" t="str">
        <f t="shared" si="5"/>
        <v/>
      </c>
    </row>
    <row r="11" spans="2:10" hidden="1">
      <c r="C11" s="12"/>
      <c r="D11" s="12"/>
      <c r="E11" s="12"/>
      <c r="F11" s="12"/>
      <c r="G11" s="12"/>
      <c r="H11" s="9"/>
    </row>
    <row r="12" spans="2:10" hidden="1">
      <c r="B12" s="8" t="s">
        <v>3</v>
      </c>
      <c r="C12" s="11">
        <f>IF(C5&gt;0,CONVERT(C5/1000,"lbm","g")," ")</f>
        <v>11.339809250000002</v>
      </c>
      <c r="D12" s="11">
        <f t="shared" ref="D12:J12" si="6">IF(D5&gt;0,CONVERT(D5/1000,"lbm","g")," ")</f>
        <v>90.718474000000015</v>
      </c>
      <c r="E12" s="11" t="str">
        <f t="shared" si="6"/>
        <v xml:space="preserve"> </v>
      </c>
      <c r="F12" s="11" t="str">
        <f t="shared" si="6"/>
        <v xml:space="preserve"> </v>
      </c>
      <c r="G12" s="11" t="str">
        <f t="shared" si="6"/>
        <v xml:space="preserve"> </v>
      </c>
      <c r="H12" s="11" t="str">
        <f t="shared" si="6"/>
        <v xml:space="preserve"> </v>
      </c>
      <c r="I12" s="11" t="str">
        <f t="shared" si="6"/>
        <v xml:space="preserve"> </v>
      </c>
      <c r="J12" s="11" t="str">
        <f t="shared" si="6"/>
        <v xml:space="preserve"> </v>
      </c>
    </row>
    <row r="13" spans="2:10" hidden="1">
      <c r="B13" s="8" t="s">
        <v>4</v>
      </c>
      <c r="C13" s="11">
        <f>IF(C6&gt;0,CONVERT(C6/1000,"lbm","g")," ")</f>
        <v>90.718474000000015</v>
      </c>
      <c r="D13" s="11">
        <f t="shared" ref="D13:J13" si="7">IF(D6&gt;0,CONVERT(D6/1000,"lbm","g")," ")</f>
        <v>149.6854821</v>
      </c>
      <c r="E13" s="11" t="str">
        <f t="shared" si="7"/>
        <v xml:space="preserve"> </v>
      </c>
      <c r="F13" s="11" t="str">
        <f t="shared" si="7"/>
        <v xml:space="preserve"> </v>
      </c>
      <c r="G13" s="11" t="str">
        <f t="shared" si="7"/>
        <v xml:space="preserve"> </v>
      </c>
      <c r="H13" s="11" t="str">
        <f t="shared" si="7"/>
        <v xml:space="preserve"> </v>
      </c>
      <c r="I13" s="11" t="str">
        <f t="shared" si="7"/>
        <v xml:space="preserve"> </v>
      </c>
      <c r="J13" s="11" t="str">
        <f t="shared" si="7"/>
        <v xml:space="preserve"> </v>
      </c>
    </row>
    <row r="14" spans="2:10" hidden="1">
      <c r="C14" s="12">
        <f>IFERROR(IF(C12&gt;0,AVERAGE(C12:C13)," "),"")</f>
        <v>51.029141625000008</v>
      </c>
      <c r="D14" s="12">
        <f t="shared" ref="D14:J14" si="8">IFERROR(IF(D12&gt;0,AVERAGE(D12:D13)," "),"")</f>
        <v>120.20197805000001</v>
      </c>
      <c r="E14" s="12" t="str">
        <f t="shared" si="8"/>
        <v/>
      </c>
      <c r="F14" s="12" t="str">
        <f t="shared" si="8"/>
        <v/>
      </c>
      <c r="G14" s="12" t="str">
        <f t="shared" si="8"/>
        <v/>
      </c>
      <c r="H14" s="12" t="str">
        <f t="shared" si="8"/>
        <v/>
      </c>
      <c r="I14" s="12" t="str">
        <f t="shared" si="8"/>
        <v/>
      </c>
      <c r="J14" s="12" t="str">
        <f t="shared" si="8"/>
        <v/>
      </c>
    </row>
    <row r="15" spans="2:10" hidden="1">
      <c r="C15" s="12"/>
      <c r="D15" s="12"/>
      <c r="E15" s="12"/>
      <c r="F15" s="12"/>
      <c r="G15" s="12"/>
      <c r="H15" s="9"/>
    </row>
    <row r="16" spans="2:10">
      <c r="B16" s="10" t="s">
        <v>5</v>
      </c>
      <c r="H16" s="9"/>
    </row>
    <row r="17" spans="2:10" s="13" customFormat="1">
      <c r="B17" s="8" t="s">
        <v>6</v>
      </c>
      <c r="C17" s="5">
        <f>IFERROR(IF(AND(C5&gt;0,C14&lt;40),C21,C21+(-(-0.0000000031*C14^4+0.0000013234*C14^3-0.0002087068*C14^2+0.0142221655*C14-0.3126825057)*C21)),"")</f>
        <v>3.3804185795518298</v>
      </c>
      <c r="D17" s="5">
        <f t="shared" ref="D17:J17" si="9">IFERROR(IF(AND(D5&gt;0,D14&lt;40),D21,D21+(-(-0.0000000031*D14^4+0.0000013234*D14^3-0.0002087068*D14^2+0.0142221655*D14-0.3126825057)*D21)),"")</f>
        <v>1.9971242142491206</v>
      </c>
      <c r="E17" s="5" t="str">
        <f t="shared" si="9"/>
        <v/>
      </c>
      <c r="F17" s="5" t="str">
        <f t="shared" si="9"/>
        <v/>
      </c>
      <c r="G17" s="5" t="str">
        <f t="shared" si="9"/>
        <v/>
      </c>
      <c r="H17" s="5" t="str">
        <f t="shared" si="9"/>
        <v/>
      </c>
      <c r="I17" s="5" t="str">
        <f t="shared" si="9"/>
        <v/>
      </c>
      <c r="J17" s="5" t="str">
        <f t="shared" si="9"/>
        <v/>
      </c>
    </row>
    <row r="18" spans="2:10" s="13" customFormat="1">
      <c r="B18" s="8" t="s">
        <v>7</v>
      </c>
      <c r="C18" s="5">
        <f>IFERROR(IF(AND(C5&gt;0,C14&lt;40),C21,C21+((-0.0000000031*C14^4+0.0000013234*C14^3-0.0002087068*C14^2+0.0142221655*C14-0.3126825057)*C21)),"")</f>
        <v>3.5496991499781694</v>
      </c>
      <c r="D18" s="5">
        <f t="shared" ref="D18:J18" si="10">IFERROR(IF(AND(D5&gt;0,D14&lt;40),D21,D21+((-0.0000000031*D14^4+0.0000013234*D14^3-0.0002087068*D14^2+0.0142221655*D14-0.3126825057)*D21)),"")</f>
        <v>2.1316974835508788</v>
      </c>
      <c r="E18" s="5" t="str">
        <f t="shared" si="10"/>
        <v/>
      </c>
      <c r="F18" s="5" t="str">
        <f t="shared" si="10"/>
        <v/>
      </c>
      <c r="G18" s="5" t="str">
        <f t="shared" si="10"/>
        <v/>
      </c>
      <c r="H18" s="5" t="str">
        <f t="shared" si="10"/>
        <v/>
      </c>
      <c r="I18" s="5" t="str">
        <f t="shared" si="10"/>
        <v/>
      </c>
      <c r="J18" s="5" t="str">
        <f t="shared" si="10"/>
        <v/>
      </c>
    </row>
    <row r="19" spans="2:10" s="13" customFormat="1">
      <c r="B19" s="8" t="str">
        <f>IF(B38="**","     Gilts development **","     Gilts development " )</f>
        <v xml:space="preserve">     Gilts development **</v>
      </c>
      <c r="C19" s="5">
        <f>IFERROR(IF(C5&gt;=200,1.86,(C18*0.97))," ")</f>
        <v>3.4432081754788242</v>
      </c>
      <c r="D19" s="5">
        <f t="shared" ref="D19:J19" si="11">IFERROR(IF(D5&gt;=200,1.86,(D18*0.97))," ")</f>
        <v>1.86</v>
      </c>
      <c r="E19" s="5" t="str">
        <f t="shared" si="11"/>
        <v xml:space="preserve"> </v>
      </c>
      <c r="F19" s="5" t="str">
        <f t="shared" si="11"/>
        <v xml:space="preserve"> </v>
      </c>
      <c r="G19" s="5" t="str">
        <f t="shared" si="11"/>
        <v xml:space="preserve"> </v>
      </c>
      <c r="H19" s="5" t="str">
        <f t="shared" si="11"/>
        <v xml:space="preserve"> </v>
      </c>
      <c r="I19" s="5" t="str">
        <f t="shared" si="11"/>
        <v xml:space="preserve"> </v>
      </c>
      <c r="J19" s="5" t="str">
        <f t="shared" si="11"/>
        <v xml:space="preserve"> </v>
      </c>
    </row>
    <row r="20" spans="2:10" s="13" customFormat="1">
      <c r="B20" s="8" t="s">
        <v>8</v>
      </c>
      <c r="C20" s="5">
        <f>IF(C5&gt;0,(IF((C17)*(0.0023*(C14)+0.9644)&lt;C18,C18,(C17)*(0.0023*(C14)+0.9644)))," ")</f>
        <v>3.6568253525495678</v>
      </c>
      <c r="D20" s="5">
        <f t="shared" ref="D20:J20" si="12">IF(D5&gt;0,(IF((D17)*(0.0023*(D14)+0.9644)&lt;D18,D18,(D17)*(0.0023*(D14)+0.9644)))," ")</f>
        <v>2.478160638439733</v>
      </c>
      <c r="E20" s="5" t="str">
        <f t="shared" si="12"/>
        <v xml:space="preserve"> </v>
      </c>
      <c r="F20" s="5" t="str">
        <f t="shared" si="12"/>
        <v xml:space="preserve"> </v>
      </c>
      <c r="G20" s="5" t="str">
        <f t="shared" si="12"/>
        <v xml:space="preserve"> </v>
      </c>
      <c r="H20" s="5" t="str">
        <f t="shared" si="12"/>
        <v xml:space="preserve"> </v>
      </c>
      <c r="I20" s="5" t="str">
        <f t="shared" si="12"/>
        <v xml:space="preserve"> </v>
      </c>
      <c r="J20" s="5" t="str">
        <f t="shared" si="12"/>
        <v xml:space="preserve"> </v>
      </c>
    </row>
    <row r="21" spans="2:10" s="13" customFormat="1">
      <c r="B21" s="8" t="s">
        <v>9</v>
      </c>
      <c r="C21" s="5">
        <f>IF(C23&gt;C22,C23,C22)</f>
        <v>3.4650588647649996</v>
      </c>
      <c r="D21" s="5">
        <f t="shared" ref="D21:J21" si="13">IF(D23&gt;D22,D23,D22)</f>
        <v>2.0644108488999997</v>
      </c>
      <c r="E21" s="5" t="str">
        <f t="shared" si="13"/>
        <v xml:space="preserve"> </v>
      </c>
      <c r="F21" s="5" t="str">
        <f t="shared" si="13"/>
        <v xml:space="preserve"> </v>
      </c>
      <c r="G21" s="5" t="str">
        <f t="shared" si="13"/>
        <v xml:space="preserve"> </v>
      </c>
      <c r="H21" s="5" t="str">
        <f t="shared" si="13"/>
        <v xml:space="preserve"> </v>
      </c>
      <c r="I21" s="5" t="str">
        <f t="shared" si="13"/>
        <v xml:space="preserve"> </v>
      </c>
      <c r="J21" s="5" t="str">
        <f t="shared" si="13"/>
        <v xml:space="preserve"> </v>
      </c>
    </row>
    <row r="22" spans="2:10" s="13" customFormat="1" hidden="1">
      <c r="B22" s="8" t="s">
        <v>10</v>
      </c>
      <c r="C22" s="20">
        <f t="shared" ref="C22:J22" si="14">IF(C5&gt;0,((0.0000255654*(C8^2) - 0.0157978368*(C8) +4.4555073859))*0.85," ")</f>
        <v>3.4650588647649996</v>
      </c>
      <c r="D22" s="20">
        <f t="shared" si="14"/>
        <v>1.9707726220149995</v>
      </c>
      <c r="E22" s="20" t="str">
        <f t="shared" si="14"/>
        <v xml:space="preserve"> </v>
      </c>
      <c r="F22" s="20" t="str">
        <f t="shared" si="14"/>
        <v xml:space="preserve"> </v>
      </c>
      <c r="G22" s="20" t="str">
        <f t="shared" si="14"/>
        <v xml:space="preserve"> </v>
      </c>
      <c r="H22" s="20" t="str">
        <f t="shared" si="14"/>
        <v xml:space="preserve"> </v>
      </c>
      <c r="I22" s="20" t="str">
        <f t="shared" si="14"/>
        <v xml:space="preserve"> </v>
      </c>
      <c r="J22" s="20" t="str">
        <f t="shared" si="14"/>
        <v xml:space="preserve"> </v>
      </c>
    </row>
    <row r="23" spans="2:10" s="13" customFormat="1" hidden="1">
      <c r="B23" s="8" t="s">
        <v>11</v>
      </c>
      <c r="C23" s="20">
        <f t="shared" ref="C23:J23" si="15">IF(C5&gt;0,(0.0000255654*(C10^2) - 0.0157978368*(C10) +4.4555073859)," ")</f>
        <v>3.0018128396499999</v>
      </c>
      <c r="D23" s="20">
        <f t="shared" si="15"/>
        <v>2.0644108488999997</v>
      </c>
      <c r="E23" s="20" t="str">
        <f t="shared" si="15"/>
        <v xml:space="preserve"> </v>
      </c>
      <c r="F23" s="20" t="str">
        <f t="shared" si="15"/>
        <v xml:space="preserve"> </v>
      </c>
      <c r="G23" s="20" t="str">
        <f t="shared" si="15"/>
        <v xml:space="preserve"> </v>
      </c>
      <c r="H23" s="20" t="str">
        <f t="shared" si="15"/>
        <v xml:space="preserve"> </v>
      </c>
      <c r="I23" s="20" t="str">
        <f t="shared" si="15"/>
        <v xml:space="preserve"> </v>
      </c>
      <c r="J23" s="20" t="str">
        <f t="shared" si="15"/>
        <v xml:space="preserve"> </v>
      </c>
    </row>
    <row r="24" spans="2:10" s="13" customFormat="1">
      <c r="B24" s="8"/>
      <c r="C24" s="20"/>
      <c r="D24" s="20"/>
      <c r="E24" s="20"/>
      <c r="F24" s="20"/>
      <c r="G24" s="20"/>
      <c r="H24" s="20"/>
      <c r="I24" s="20"/>
      <c r="J24" s="20"/>
    </row>
    <row r="25" spans="2:10" s="13" customFormat="1">
      <c r="B25" s="10" t="s">
        <v>12</v>
      </c>
      <c r="C25" s="14"/>
      <c r="D25" s="14"/>
      <c r="E25" s="14"/>
      <c r="F25" s="14"/>
      <c r="G25" s="14"/>
      <c r="H25" s="14"/>
    </row>
    <row r="26" spans="2:10" s="13" customFormat="1">
      <c r="B26" s="8" t="s">
        <v>6</v>
      </c>
      <c r="C26" s="5">
        <f t="shared" ref="C26:J27" si="16">IF(C$3&gt;0,(C17*(C$3*2.204622)/10000)," ")</f>
        <v>1.0433563237564201</v>
      </c>
      <c r="D26" s="5">
        <f t="shared" si="16"/>
        <v>0.61640655712528547</v>
      </c>
      <c r="E26" s="5" t="str">
        <f t="shared" si="16"/>
        <v xml:space="preserve"> </v>
      </c>
      <c r="F26" s="5" t="str">
        <f t="shared" si="16"/>
        <v xml:space="preserve"> </v>
      </c>
      <c r="G26" s="5" t="str">
        <f t="shared" si="16"/>
        <v xml:space="preserve"> </v>
      </c>
      <c r="H26" s="5" t="str">
        <f t="shared" si="16"/>
        <v xml:space="preserve"> </v>
      </c>
      <c r="I26" s="5" t="str">
        <f t="shared" si="16"/>
        <v xml:space="preserve"> </v>
      </c>
      <c r="J26" s="5" t="str">
        <f t="shared" si="16"/>
        <v xml:space="preserve"> </v>
      </c>
    </row>
    <row r="27" spans="2:10" s="13" customFormat="1">
      <c r="B27" s="8" t="s">
        <v>7</v>
      </c>
      <c r="C27" s="5">
        <f t="shared" si="16"/>
        <v>1.0956042775192441</v>
      </c>
      <c r="D27" s="5">
        <f t="shared" si="16"/>
        <v>0.65794220374132684</v>
      </c>
      <c r="E27" s="5" t="str">
        <f t="shared" si="16"/>
        <v xml:space="preserve"> </v>
      </c>
      <c r="F27" s="5" t="str">
        <f t="shared" si="16"/>
        <v xml:space="preserve"> </v>
      </c>
      <c r="G27" s="5" t="str">
        <f t="shared" si="16"/>
        <v xml:space="preserve"> </v>
      </c>
      <c r="H27" s="5" t="str">
        <f t="shared" si="16"/>
        <v xml:space="preserve"> </v>
      </c>
      <c r="I27" s="5" t="str">
        <f t="shared" si="16"/>
        <v xml:space="preserve"> </v>
      </c>
      <c r="J27" s="5" t="str">
        <f t="shared" si="16"/>
        <v xml:space="preserve"> </v>
      </c>
    </row>
    <row r="28" spans="2:10" s="13" customFormat="1">
      <c r="B28" s="8" t="str">
        <f>IF(B38="**","     Gilts development **","     Gilts development " )</f>
        <v xml:space="preserve">     Gilts development **</v>
      </c>
      <c r="C28" s="5">
        <f>IF(C$3&gt;0,(C19*(C$3*2.204622)/10000)," ")</f>
        <v>1.0627361491936667</v>
      </c>
      <c r="D28" s="5">
        <f t="shared" ref="D28:J28" si="17">IF(D$3&gt;0,(D19*(D$3*2.204622)/10000)," ")</f>
        <v>0.5740835688</v>
      </c>
      <c r="E28" s="5" t="str">
        <f t="shared" si="17"/>
        <v xml:space="preserve"> </v>
      </c>
      <c r="F28" s="5" t="str">
        <f t="shared" si="17"/>
        <v xml:space="preserve"> </v>
      </c>
      <c r="G28" s="5" t="str">
        <f t="shared" si="17"/>
        <v xml:space="preserve"> </v>
      </c>
      <c r="H28" s="5" t="str">
        <f t="shared" si="17"/>
        <v xml:space="preserve"> </v>
      </c>
      <c r="I28" s="5" t="str">
        <f t="shared" si="17"/>
        <v xml:space="preserve"> </v>
      </c>
      <c r="J28" s="5" t="str">
        <f t="shared" si="17"/>
        <v xml:space="preserve"> </v>
      </c>
    </row>
    <row r="29" spans="2:10" s="13" customFormat="1">
      <c r="B29" s="8" t="s">
        <v>8</v>
      </c>
      <c r="C29" s="5">
        <f>IF(C$3&gt;0,(C20*(C$3*2.204622)/10000)," ")</f>
        <v>1.1286684671343947</v>
      </c>
      <c r="D29" s="5">
        <f t="shared" ref="D29:J30" si="18">IF(D$3&gt;0,(D20*(D$3*2.204622)/10000)," ")</f>
        <v>0.76487704482535934</v>
      </c>
      <c r="E29" s="5" t="str">
        <f t="shared" si="18"/>
        <v xml:space="preserve"> </v>
      </c>
      <c r="F29" s="5" t="str">
        <f t="shared" si="18"/>
        <v xml:space="preserve"> </v>
      </c>
      <c r="G29" s="5" t="str">
        <f t="shared" si="18"/>
        <v xml:space="preserve"> </v>
      </c>
      <c r="H29" s="5" t="str">
        <f t="shared" si="18"/>
        <v xml:space="preserve"> </v>
      </c>
      <c r="I29" s="5" t="str">
        <f t="shared" si="18"/>
        <v xml:space="preserve"> </v>
      </c>
      <c r="J29" s="5" t="str">
        <f t="shared" si="18"/>
        <v xml:space="preserve"> </v>
      </c>
    </row>
    <row r="30" spans="2:10" s="13" customFormat="1">
      <c r="B30" s="8" t="s">
        <v>9</v>
      </c>
      <c r="C30" s="5">
        <f>IF(C$3&gt;0,(C21*(C$3*2.204622)/10000)," ")</f>
        <v>1.0694803006378322</v>
      </c>
      <c r="D30" s="5">
        <f t="shared" si="18"/>
        <v>0.6371743804333061</v>
      </c>
      <c r="E30" s="5" t="str">
        <f t="shared" si="18"/>
        <v xml:space="preserve"> </v>
      </c>
      <c r="F30" s="5" t="str">
        <f t="shared" si="18"/>
        <v xml:space="preserve"> </v>
      </c>
      <c r="G30" s="5" t="str">
        <f t="shared" si="18"/>
        <v xml:space="preserve"> </v>
      </c>
      <c r="H30" s="5" t="str">
        <f t="shared" si="18"/>
        <v xml:space="preserve"> </v>
      </c>
      <c r="I30" s="5" t="str">
        <f t="shared" si="18"/>
        <v xml:space="preserve"> </v>
      </c>
      <c r="J30" s="5" t="str">
        <f t="shared" si="18"/>
        <v xml:space="preserve"> </v>
      </c>
    </row>
    <row r="31" spans="2:10" s="13" customFormat="1">
      <c r="B31" s="8" t="s">
        <v>13</v>
      </c>
      <c r="C31" s="5">
        <f>IF(C$3&gt;0,AVERAGE(C27,C29)," ")</f>
        <v>1.1121363723268194</v>
      </c>
      <c r="D31" s="5">
        <f t="shared" ref="D31:J31" si="19">IF(D$3&gt;0,AVERAGE(D27,D29)," ")</f>
        <v>0.71140962428334309</v>
      </c>
      <c r="E31" s="5" t="str">
        <f t="shared" si="19"/>
        <v xml:space="preserve"> </v>
      </c>
      <c r="F31" s="5" t="str">
        <f t="shared" si="19"/>
        <v xml:space="preserve"> </v>
      </c>
      <c r="G31" s="5" t="str">
        <f t="shared" si="19"/>
        <v xml:space="preserve"> </v>
      </c>
      <c r="H31" s="5" t="str">
        <f t="shared" si="19"/>
        <v xml:space="preserve"> </v>
      </c>
      <c r="I31" s="5" t="str">
        <f t="shared" si="19"/>
        <v xml:space="preserve"> </v>
      </c>
      <c r="J31" s="5" t="str">
        <f t="shared" si="19"/>
        <v xml:space="preserve"> </v>
      </c>
    </row>
    <row r="32" spans="2:10" s="13" customFormat="1" hidden="1">
      <c r="B32" s="15" t="s">
        <v>14</v>
      </c>
      <c r="C32" s="16">
        <f>C20/C17</f>
        <v>1.0817670257375001</v>
      </c>
      <c r="D32" s="16">
        <f t="shared" ref="D32:J32" si="20">D20/D17</f>
        <v>1.2408645495149999</v>
      </c>
      <c r="E32" s="16" t="e">
        <f t="shared" si="20"/>
        <v>#VALUE!</v>
      </c>
      <c r="F32" s="16" t="e">
        <f t="shared" si="20"/>
        <v>#VALUE!</v>
      </c>
      <c r="G32" s="16" t="e">
        <f t="shared" si="20"/>
        <v>#VALUE!</v>
      </c>
      <c r="H32" s="16" t="e">
        <f t="shared" si="20"/>
        <v>#VALUE!</v>
      </c>
      <c r="I32" s="16" t="e">
        <f t="shared" si="20"/>
        <v>#VALUE!</v>
      </c>
      <c r="J32" s="16" t="e">
        <f t="shared" si="20"/>
        <v>#VALUE!</v>
      </c>
    </row>
    <row r="33" spans="2:11" s="13" customFormat="1" hidden="1">
      <c r="B33" s="15"/>
      <c r="C33" s="16"/>
      <c r="D33" s="16"/>
      <c r="E33" s="16"/>
      <c r="F33" s="16"/>
      <c r="G33" s="16"/>
      <c r="H33" s="16"/>
      <c r="I33" s="16"/>
      <c r="J33" s="16"/>
    </row>
    <row r="34" spans="2:11" s="13" customFormat="1" ht="25.15" customHeight="1">
      <c r="B34" s="27" t="s">
        <v>15</v>
      </c>
      <c r="C34" s="26" t="s">
        <v>16</v>
      </c>
      <c r="D34" s="26"/>
      <c r="E34" s="26"/>
      <c r="F34" s="26"/>
      <c r="G34" s="26"/>
      <c r="H34" s="26"/>
      <c r="I34" s="26"/>
      <c r="J34" s="26"/>
    </row>
    <row r="35" spans="2:11" s="13" customFormat="1" ht="18.600000000000001" customHeight="1">
      <c r="B35" s="27"/>
      <c r="C35" s="26"/>
      <c r="D35" s="26"/>
      <c r="E35" s="26"/>
      <c r="F35" s="26"/>
      <c r="G35" s="26"/>
      <c r="H35" s="26"/>
      <c r="I35" s="26"/>
      <c r="J35" s="26"/>
    </row>
    <row r="36" spans="2:11" s="13" customFormat="1" ht="15" customHeight="1">
      <c r="B36" s="23" t="str">
        <f>(IF(C23&lt;C22,"!",IF(D23&lt;D22,"!",IF(E23&lt;E22,"!",IF(F23&lt;F22,"!",IF(G23&lt;G22,"!",IF(H23&lt;H22,"!",IF(I23&lt;I22,"!",IF(J23&lt;J22,"!"," ")))))))))</f>
        <v>!</v>
      </c>
      <c r="C36" s="24" t="str">
        <f>IF(B36="!","Because the weight range is so wide, PIC biological requirement is set as 85% of the requirement at the beginning of the phase"," ")</f>
        <v>Because the weight range is so wide, PIC biological requirement is set as 85% of the requirement at the beginning of the phase</v>
      </c>
      <c r="D36" s="24"/>
      <c r="E36" s="24"/>
      <c r="F36" s="24"/>
      <c r="G36" s="24"/>
      <c r="H36" s="24"/>
      <c r="I36" s="24"/>
      <c r="J36" s="24"/>
      <c r="K36" s="22"/>
    </row>
    <row r="37" spans="2:11">
      <c r="B37" s="23"/>
      <c r="C37" s="24"/>
      <c r="D37" s="24"/>
      <c r="E37" s="24"/>
      <c r="F37" s="24"/>
      <c r="G37" s="24"/>
      <c r="H37" s="24"/>
      <c r="I37" s="24"/>
      <c r="J37" s="24"/>
      <c r="K37" s="22"/>
    </row>
    <row r="38" spans="2:11">
      <c r="B38" s="23" t="str">
        <f>(IF(C19&lt;1.9,"**",IF(D19&lt;1.9,"**",IF(E19&lt;1.9,"**",IF(F19&lt;1.9,"**",IF(G19&lt;1.9,"**",IF(H19&lt;1.9,"**",IF(I19&lt;1.9,"**",IF(J19&lt;1.9,"**"," ")))))))))</f>
        <v>**</v>
      </c>
      <c r="C38" s="25" t="str">
        <f>IF(B38="**","if desired weight at breeding is not met, PIC recommends using 97% of SID Lysine requirement for commercial gilts above 200 lbs"," ")</f>
        <v>if desired weight at breeding is not met, PIC recommends using 97% of SID Lysine requirement for commercial gilts above 200 lbs</v>
      </c>
      <c r="D38" s="25"/>
      <c r="E38" s="25"/>
      <c r="F38" s="25"/>
      <c r="G38" s="25"/>
      <c r="H38" s="25"/>
      <c r="I38" s="25"/>
      <c r="J38" s="25"/>
    </row>
    <row r="39" spans="2:11">
      <c r="B39" s="23"/>
      <c r="C39" s="25"/>
      <c r="D39" s="25"/>
      <c r="E39" s="25"/>
      <c r="F39" s="25"/>
      <c r="G39" s="25"/>
      <c r="H39" s="25"/>
      <c r="I39" s="25"/>
      <c r="J39" s="25"/>
    </row>
    <row r="40" spans="2:11">
      <c r="I40" s="17"/>
    </row>
    <row r="42" spans="2:11">
      <c r="G42" s="17"/>
    </row>
  </sheetData>
  <sheetProtection algorithmName="SHA-512" hashValue="KOBu8Tf8w/UKuHLtNivF0cCrtvYUiZfxI6jMjPfPP52wlZAJxGnbG0UZSOdD9vrAD3Da0CJJCu48V2yVI8b81w==" saltValue="ZBijgiKOIy5A1x1psUvL1Q==" spinCount="100000" sheet="1" objects="1" scenarios="1"/>
  <mergeCells count="6">
    <mergeCell ref="B36:B37"/>
    <mergeCell ref="C36:J37"/>
    <mergeCell ref="B38:B39"/>
    <mergeCell ref="C38:J39"/>
    <mergeCell ref="C34:J35"/>
    <mergeCell ref="B34:B35"/>
  </mergeCells>
  <conditionalFormatting sqref="C28:J28">
    <cfRule type="cellIs" dxfId="3" priority="2" operator="lessThanOrEqual">
      <formula>0.65</formula>
    </cfRule>
  </conditionalFormatting>
  <conditionalFormatting sqref="C19:J19">
    <cfRule type="cellIs" dxfId="2" priority="1" operator="lessThanOrEqual">
      <formula>1.9</formula>
    </cfRule>
  </conditionalFormatting>
  <dataValidations count="1">
    <dataValidation type="decimal" errorStyle="warning" allowBlank="1" showInputMessage="1" showErrorMessage="1" error="This calculator is based on data between 25 and 330 lb. It is not recommended to use for body weight outside of this range." sqref="C5:J6" xr:uid="{91FC4DD5-F3F2-4030-97FF-6EE4131B3765}">
      <formula1>25</formula1>
      <formula2>330</formula2>
    </dataValidation>
  </dataValidations>
  <pageMargins left="0.7" right="0.7" top="0.75" bottom="0.75" header="0.3" footer="0.3"/>
  <pageSetup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1"/>
  <sheetViews>
    <sheetView showGridLines="0" showRowColHeaders="0" tabSelected="1" zoomScale="110" zoomScaleNormal="110" workbookViewId="0">
      <selection activeCell="I4" sqref="I4"/>
    </sheetView>
  </sheetViews>
  <sheetFormatPr defaultColWidth="8.85546875" defaultRowHeight="15"/>
  <cols>
    <col min="1" max="1" width="8.85546875" style="8"/>
    <col min="2" max="2" width="27" style="8" customWidth="1"/>
    <col min="3" max="7" width="9.28515625" style="9" customWidth="1"/>
    <col min="8" max="10" width="9.28515625" style="8" customWidth="1"/>
    <col min="11" max="16384" width="8.85546875" style="8"/>
  </cols>
  <sheetData>
    <row r="1" spans="2:12" s="13" customFormat="1" ht="121.9" customHeight="1">
      <c r="C1" s="14"/>
      <c r="D1" s="14"/>
      <c r="E1" s="14"/>
      <c r="F1" s="14"/>
      <c r="G1" s="14"/>
    </row>
    <row r="2" spans="2:12">
      <c r="B2" s="10" t="s">
        <v>17</v>
      </c>
      <c r="C2" s="2">
        <v>3200</v>
      </c>
      <c r="D2" s="2">
        <v>3200</v>
      </c>
      <c r="E2" s="2"/>
      <c r="F2" s="2"/>
      <c r="G2" s="2"/>
      <c r="H2" s="2"/>
      <c r="I2" s="2"/>
      <c r="J2" s="2"/>
    </row>
    <row r="3" spans="2:12" ht="15.75">
      <c r="B3" s="10"/>
      <c r="C3" s="21" t="str">
        <f t="shared" ref="C3:J3" si="0">IF(C22&lt;C21,"!", " ")</f>
        <v xml:space="preserve"> </v>
      </c>
      <c r="D3" s="21" t="str">
        <f t="shared" si="0"/>
        <v xml:space="preserve"> </v>
      </c>
      <c r="E3" s="21" t="str">
        <f t="shared" si="0"/>
        <v xml:space="preserve"> </v>
      </c>
      <c r="F3" s="21" t="str">
        <f t="shared" si="0"/>
        <v xml:space="preserve"> </v>
      </c>
      <c r="G3" s="21" t="str">
        <f t="shared" si="0"/>
        <v xml:space="preserve"> </v>
      </c>
      <c r="H3" s="21" t="str">
        <f t="shared" si="0"/>
        <v xml:space="preserve"> </v>
      </c>
      <c r="I3" s="21" t="str">
        <f t="shared" si="0"/>
        <v xml:space="preserve"> </v>
      </c>
      <c r="J3" s="21" t="str">
        <f t="shared" si="0"/>
        <v xml:space="preserve"> </v>
      </c>
    </row>
    <row r="4" spans="2:12">
      <c r="B4" s="10" t="s">
        <v>3</v>
      </c>
      <c r="C4" s="2">
        <v>18.670000000000002</v>
      </c>
      <c r="D4" s="2">
        <v>32.67</v>
      </c>
      <c r="E4" s="2">
        <v>50.72</v>
      </c>
      <c r="F4" s="2">
        <v>71.66</v>
      </c>
      <c r="G4" s="2">
        <v>93.98</v>
      </c>
      <c r="H4" s="2">
        <v>116.25</v>
      </c>
      <c r="I4" s="2"/>
      <c r="J4" s="2"/>
      <c r="L4" s="18"/>
    </row>
    <row r="5" spans="2:12">
      <c r="B5" s="10" t="s">
        <v>4</v>
      </c>
      <c r="C5" s="2">
        <f>C4</f>
        <v>18.670000000000002</v>
      </c>
      <c r="D5" s="2">
        <f t="shared" ref="D5:H5" si="1">D4</f>
        <v>32.67</v>
      </c>
      <c r="E5" s="2">
        <f t="shared" si="1"/>
        <v>50.72</v>
      </c>
      <c r="F5" s="2">
        <f t="shared" si="1"/>
        <v>71.66</v>
      </c>
      <c r="G5" s="2">
        <f t="shared" si="1"/>
        <v>93.98</v>
      </c>
      <c r="H5" s="2">
        <f t="shared" si="1"/>
        <v>116.25</v>
      </c>
      <c r="I5" s="2"/>
      <c r="J5" s="2"/>
    </row>
    <row r="7" spans="2:12" hidden="1">
      <c r="B7" s="8" t="s">
        <v>1</v>
      </c>
      <c r="C7" s="11">
        <f>IF(C4&gt;0,CONVERT(C4*1000,"g","lbm")," ")</f>
        <v>41.160304349916643</v>
      </c>
      <c r="D7" s="11">
        <f t="shared" ref="D7:J7" si="2">IF(D4&gt;0,CONVERT(D4*1000,"g","lbm")," ")</f>
        <v>72.025021055799499</v>
      </c>
      <c r="E7" s="11">
        <f t="shared" si="2"/>
        <v>111.8184593801699</v>
      </c>
      <c r="F7" s="11">
        <f t="shared" si="2"/>
        <v>157.98325708168326</v>
      </c>
      <c r="G7" s="11">
        <f t="shared" si="2"/>
        <v>207.19043400134794</v>
      </c>
      <c r="H7" s="11">
        <f t="shared" si="2"/>
        <v>256.28737978992018</v>
      </c>
      <c r="I7" s="11" t="str">
        <f t="shared" si="2"/>
        <v xml:space="preserve"> </v>
      </c>
      <c r="J7" s="11" t="str">
        <f t="shared" si="2"/>
        <v xml:space="preserve"> </v>
      </c>
    </row>
    <row r="8" spans="2:12" hidden="1">
      <c r="B8" s="8" t="s">
        <v>2</v>
      </c>
      <c r="C8" s="11">
        <f>IF(C5&gt;0,CONVERT(C5*1000,"g","lbm")," ")</f>
        <v>41.160304349916643</v>
      </c>
      <c r="D8" s="11">
        <f t="shared" ref="D8:J8" si="3">IF(D5&gt;0,CONVERT(D5*1000,"g","lbm")," ")</f>
        <v>72.025021055799499</v>
      </c>
      <c r="E8" s="11">
        <f t="shared" si="3"/>
        <v>111.8184593801699</v>
      </c>
      <c r="F8" s="11">
        <f t="shared" si="3"/>
        <v>157.98325708168326</v>
      </c>
      <c r="G8" s="11">
        <f t="shared" si="3"/>
        <v>207.19043400134794</v>
      </c>
      <c r="H8" s="11">
        <f t="shared" si="3"/>
        <v>256.28737978992018</v>
      </c>
      <c r="I8" s="11" t="str">
        <f t="shared" si="3"/>
        <v xml:space="preserve"> </v>
      </c>
      <c r="J8" s="11" t="str">
        <f t="shared" si="3"/>
        <v xml:space="preserve"> </v>
      </c>
    </row>
    <row r="9" spans="2:12" hidden="1">
      <c r="C9" s="12">
        <f>IFERROR(IF(C7&gt;0,AVERAGE(C7:C8)," "),"")</f>
        <v>41.160304349916643</v>
      </c>
      <c r="D9" s="12">
        <f t="shared" ref="D9:J9" si="4">IFERROR(IF(D7&gt;0,AVERAGE(D7:D8)," "),"")</f>
        <v>72.025021055799499</v>
      </c>
      <c r="E9" s="12">
        <f t="shared" si="4"/>
        <v>111.8184593801699</v>
      </c>
      <c r="F9" s="12">
        <f t="shared" si="4"/>
        <v>157.98325708168326</v>
      </c>
      <c r="G9" s="12">
        <f t="shared" si="4"/>
        <v>207.19043400134794</v>
      </c>
      <c r="H9" s="12">
        <f t="shared" si="4"/>
        <v>256.28737978992018</v>
      </c>
      <c r="I9" s="12" t="str">
        <f t="shared" si="4"/>
        <v/>
      </c>
      <c r="J9" s="12" t="str">
        <f t="shared" si="4"/>
        <v/>
      </c>
    </row>
    <row r="10" spans="2:12" hidden="1">
      <c r="C10" s="12"/>
      <c r="D10" s="12"/>
      <c r="E10" s="12"/>
      <c r="F10" s="12"/>
      <c r="G10" s="12"/>
      <c r="H10" s="9"/>
    </row>
    <row r="11" spans="2:12" hidden="1">
      <c r="B11" s="8" t="s">
        <v>3</v>
      </c>
      <c r="C11" s="11">
        <f>IF(C4&gt;0,C4," ")</f>
        <v>18.670000000000002</v>
      </c>
      <c r="D11" s="11">
        <f t="shared" ref="D11:H11" si="5">IF(D4&gt;0,D4," ")</f>
        <v>32.67</v>
      </c>
      <c r="E11" s="11">
        <f t="shared" si="5"/>
        <v>50.72</v>
      </c>
      <c r="F11" s="11">
        <f t="shared" si="5"/>
        <v>71.66</v>
      </c>
      <c r="G11" s="11">
        <f t="shared" si="5"/>
        <v>93.98</v>
      </c>
      <c r="H11" s="11">
        <f t="shared" si="5"/>
        <v>116.25</v>
      </c>
      <c r="I11" s="11" t="str">
        <f t="shared" ref="I11:J11" si="6">IF(I4&gt;0,I4," ")</f>
        <v xml:space="preserve"> </v>
      </c>
      <c r="J11" s="11" t="str">
        <f t="shared" si="6"/>
        <v xml:space="preserve"> </v>
      </c>
    </row>
    <row r="12" spans="2:12" hidden="1">
      <c r="B12" s="8" t="s">
        <v>4</v>
      </c>
      <c r="C12" s="11">
        <f>IF(C5&gt;0,C5," ")</f>
        <v>18.670000000000002</v>
      </c>
      <c r="D12" s="11">
        <f t="shared" ref="D12:H12" si="7">IF(D5&gt;0,D5," ")</f>
        <v>32.67</v>
      </c>
      <c r="E12" s="11">
        <f t="shared" si="7"/>
        <v>50.72</v>
      </c>
      <c r="F12" s="11">
        <f t="shared" si="7"/>
        <v>71.66</v>
      </c>
      <c r="G12" s="11">
        <f t="shared" si="7"/>
        <v>93.98</v>
      </c>
      <c r="H12" s="11">
        <f t="shared" si="7"/>
        <v>116.25</v>
      </c>
      <c r="I12" s="11" t="str">
        <f t="shared" ref="I12:J12" si="8">IF(I5&gt;0,I5," ")</f>
        <v xml:space="preserve"> </v>
      </c>
      <c r="J12" s="11" t="str">
        <f t="shared" si="8"/>
        <v xml:space="preserve"> </v>
      </c>
    </row>
    <row r="13" spans="2:12" hidden="1">
      <c r="C13" s="12">
        <f>IFERROR(IF(C11&gt;0,AVERAGE(C11:C12)," "),"")</f>
        <v>18.670000000000002</v>
      </c>
      <c r="D13" s="12">
        <f t="shared" ref="D13:J13" si="9">IFERROR(IF(D11&gt;0,AVERAGE(D11:D12)," "),"")</f>
        <v>32.67</v>
      </c>
      <c r="E13" s="12">
        <f t="shared" si="9"/>
        <v>50.72</v>
      </c>
      <c r="F13" s="12">
        <f t="shared" si="9"/>
        <v>71.66</v>
      </c>
      <c r="G13" s="12">
        <f t="shared" si="9"/>
        <v>93.98</v>
      </c>
      <c r="H13" s="12">
        <f t="shared" si="9"/>
        <v>116.25</v>
      </c>
      <c r="I13" s="12" t="str">
        <f t="shared" si="9"/>
        <v/>
      </c>
      <c r="J13" s="12" t="str">
        <f t="shared" si="9"/>
        <v/>
      </c>
    </row>
    <row r="14" spans="2:12" hidden="1">
      <c r="C14" s="12"/>
      <c r="D14" s="12"/>
      <c r="E14" s="12"/>
      <c r="F14" s="12"/>
      <c r="G14" s="12"/>
      <c r="H14" s="9"/>
    </row>
    <row r="15" spans="2:12">
      <c r="B15" s="10" t="s">
        <v>5</v>
      </c>
      <c r="H15" s="9"/>
    </row>
    <row r="16" spans="2:12">
      <c r="B16" s="8" t="s">
        <v>6</v>
      </c>
      <c r="C16" s="4">
        <f>IFERROR(IF(AND(C4&gt;0,C13&lt;40),C20,C20+(-(-0.0000000031*C13^4+0.0000013234*C13^3-0.0002087068*C13^2+0.0142221655*C13-0.3126825057)*C20)),"")</f>
        <v>3.8485757655840027</v>
      </c>
      <c r="D16" s="4">
        <f t="shared" ref="D16:J16" si="10">IFERROR(IF(AND(D4&gt;0,D13&lt;40),D20,D20+(-(-0.0000000031*D13^4+0.0000013234*D13^3-0.0002087068*D13^2+0.0142221655*D13-0.3126825057)*D20)),"")</f>
        <v>3.4502910203044079</v>
      </c>
      <c r="E16" s="4">
        <f t="shared" si="10"/>
        <v>2.9366945651292156</v>
      </c>
      <c r="F16" s="4">
        <f t="shared" si="10"/>
        <v>2.4939301553981315</v>
      </c>
      <c r="G16" s="4">
        <f t="shared" si="10"/>
        <v>2.1949258561588048</v>
      </c>
      <c r="H16" s="4">
        <f t="shared" si="10"/>
        <v>2.0169170068782805</v>
      </c>
      <c r="I16" s="4" t="str">
        <f t="shared" si="10"/>
        <v/>
      </c>
      <c r="J16" s="4" t="str">
        <f t="shared" si="10"/>
        <v/>
      </c>
    </row>
    <row r="17" spans="2:10">
      <c r="B17" s="8" t="s">
        <v>7</v>
      </c>
      <c r="C17" s="4">
        <f>IFERROR(IF(AND(C4&gt;0,C13&lt;40),C20,C20+((-0.0000000031*C13^4+0.0000013234*C13^3-0.0002087068*C13^2+0.0142221655*C13-0.3126825057)*C20)),"")</f>
        <v>3.8485757655840027</v>
      </c>
      <c r="D17" s="4">
        <f t="shared" ref="D17:J17" si="11">IFERROR(IF(AND(D4&gt;0,D13&lt;40),D20,D20+((-0.0000000031*D13^4+0.0000013234*D13^3-0.0002087068*D13^2+0.0142221655*D13-0.3126825057)*D20)),"")</f>
        <v>3.4502910203044079</v>
      </c>
      <c r="E17" s="4">
        <f>IFERROR(IF(AND(E4&gt;0,E13&lt;40),E20,E20+((-0.0000000031*E13^4+0.0000013234*E13^3-0.0002087068*E13^2+0.0142221655*E13-0.3126825057)*E20)),"")</f>
        <v>3.0806478629218148</v>
      </c>
      <c r="F17" s="4">
        <f t="shared" si="11"/>
        <v>2.701655976014087</v>
      </c>
      <c r="G17" s="4">
        <f t="shared" si="11"/>
        <v>2.3647042290904468</v>
      </c>
      <c r="H17" s="4">
        <f t="shared" si="11"/>
        <v>2.1549610036108637</v>
      </c>
      <c r="I17" s="4" t="str">
        <f t="shared" si="11"/>
        <v/>
      </c>
      <c r="J17" s="4" t="str">
        <f t="shared" si="11"/>
        <v/>
      </c>
    </row>
    <row r="18" spans="2:10" s="13" customFormat="1">
      <c r="B18" s="8" t="str">
        <f>IF(B37="**","     Gilts development **","     Gilts development " )</f>
        <v xml:space="preserve">     Gilts development **</v>
      </c>
      <c r="C18" s="5">
        <f>IFERROR(IF(C4&gt;=90,1.86,(C17*0.97))," ")</f>
        <v>3.7331184926164824</v>
      </c>
      <c r="D18" s="5">
        <f t="shared" ref="D18:J18" si="12">IFERROR(IF(D4&gt;=90,1.86,(D17*0.97))," ")</f>
        <v>3.3467822896952755</v>
      </c>
      <c r="E18" s="5">
        <f t="shared" si="12"/>
        <v>2.9882284270341604</v>
      </c>
      <c r="F18" s="5">
        <f t="shared" si="12"/>
        <v>2.6206062967336643</v>
      </c>
      <c r="G18" s="5">
        <f t="shared" si="12"/>
        <v>1.86</v>
      </c>
      <c r="H18" s="5">
        <f t="shared" si="12"/>
        <v>1.86</v>
      </c>
      <c r="I18" s="5" t="str">
        <f t="shared" si="12"/>
        <v xml:space="preserve"> </v>
      </c>
      <c r="J18" s="5" t="str">
        <f t="shared" si="12"/>
        <v xml:space="preserve"> </v>
      </c>
    </row>
    <row r="19" spans="2:10">
      <c r="B19" s="8" t="s">
        <v>8</v>
      </c>
      <c r="C19" s="4">
        <f>IF(C4&gt;0,(IF((C16)*(0.0023*(C13)+0.9644)&lt;C17,C17,(C16)*(0.0023*(C13)+0.9644)))," ")</f>
        <v>3.876828160279155</v>
      </c>
      <c r="D19" s="4">
        <f t="shared" ref="D19:J19" si="13">IF(D4&gt;0,(IF((D16)*(0.0023*(D13)+0.9644)&lt;D17,D17,(D16)*(0.0023*(D13)+0.9644)))," ")</f>
        <v>3.5867189775382649</v>
      </c>
      <c r="E19" s="4">
        <f t="shared" si="13"/>
        <v>3.1747312798003291</v>
      </c>
      <c r="F19" s="4">
        <f t="shared" si="13"/>
        <v>2.8161908222183674</v>
      </c>
      <c r="G19" s="4">
        <f t="shared" si="13"/>
        <v>2.5912284991917018</v>
      </c>
      <c r="H19" s="4">
        <f t="shared" si="13"/>
        <v>2.484387946147494</v>
      </c>
      <c r="I19" s="4" t="str">
        <f t="shared" si="13"/>
        <v xml:space="preserve"> </v>
      </c>
      <c r="J19" s="4" t="str">
        <f t="shared" si="13"/>
        <v xml:space="preserve"> </v>
      </c>
    </row>
    <row r="20" spans="2:10">
      <c r="B20" s="8" t="s">
        <v>9</v>
      </c>
      <c r="C20" s="4">
        <f>IF(C22&gt;C21,C22,C21)</f>
        <v>3.8485757655840027</v>
      </c>
      <c r="D20" s="4">
        <f t="shared" ref="D20:J20" si="14">IF(D22&gt;D21,D22,D21)</f>
        <v>3.4502910203044079</v>
      </c>
      <c r="E20" s="4">
        <f t="shared" si="14"/>
        <v>3.0086712140255152</v>
      </c>
      <c r="F20" s="4">
        <f t="shared" si="14"/>
        <v>2.5977930657061092</v>
      </c>
      <c r="G20" s="4">
        <f t="shared" si="14"/>
        <v>2.2798150426246258</v>
      </c>
      <c r="H20" s="4">
        <f t="shared" si="14"/>
        <v>2.0859390052445721</v>
      </c>
      <c r="I20" s="4" t="str">
        <f t="shared" si="14"/>
        <v xml:space="preserve"> </v>
      </c>
      <c r="J20" s="4" t="str">
        <f t="shared" si="14"/>
        <v xml:space="preserve"> </v>
      </c>
    </row>
    <row r="21" spans="2:10" hidden="1">
      <c r="B21" s="8" t="s">
        <v>10</v>
      </c>
      <c r="C21" s="20">
        <f t="shared" ref="C21:J21" si="15">IF(C4&gt;0,((0.0000255654*(C7^2) - 0.0157978368*(C7) +4.4555073859))*0.85," ")</f>
        <v>3.2712894007464022</v>
      </c>
      <c r="D21" s="20">
        <f t="shared" si="15"/>
        <v>2.9327473672587465</v>
      </c>
      <c r="E21" s="20">
        <f>IF(E4&gt;0,((0.0000255654*(E7^2) - 0.0157978368*(E7) +4.4555073859))*0.85," ")</f>
        <v>2.5573705319216877</v>
      </c>
      <c r="F21" s="20">
        <f t="shared" si="15"/>
        <v>2.2081241058501928</v>
      </c>
      <c r="G21" s="20">
        <f t="shared" si="15"/>
        <v>1.9378427862309318</v>
      </c>
      <c r="H21" s="20">
        <f t="shared" si="15"/>
        <v>1.7730481544578862</v>
      </c>
      <c r="I21" s="20" t="str">
        <f t="shared" si="15"/>
        <v xml:space="preserve"> </v>
      </c>
      <c r="J21" s="20" t="str">
        <f t="shared" si="15"/>
        <v xml:space="preserve"> </v>
      </c>
    </row>
    <row r="22" spans="2:10" hidden="1">
      <c r="B22" s="8" t="s">
        <v>11</v>
      </c>
      <c r="C22" s="20">
        <f>IF(C4&gt;0,(0.0000255654*(C9^2) - 0.0157978368*(C9) +4.4555073859)," ")</f>
        <v>3.8485757655840027</v>
      </c>
      <c r="D22" s="20">
        <f t="shared" ref="D22:J22" si="16">IF(D4&gt;0,(0.0000255654*(D9^2) - 0.0157978368*(D9) +4.4555073859)," ")</f>
        <v>3.4502910203044079</v>
      </c>
      <c r="E22" s="20">
        <f>IF(E4&gt;0,(0.0000255654*(E9^2) - 0.0157978368*(E9) +4.4555073859)," ")</f>
        <v>3.0086712140255152</v>
      </c>
      <c r="F22" s="20">
        <f t="shared" si="16"/>
        <v>2.5977930657061092</v>
      </c>
      <c r="G22" s="20">
        <f t="shared" si="16"/>
        <v>2.2798150426246258</v>
      </c>
      <c r="H22" s="20">
        <f t="shared" si="16"/>
        <v>2.0859390052445721</v>
      </c>
      <c r="I22" s="20" t="str">
        <f t="shared" si="16"/>
        <v xml:space="preserve"> </v>
      </c>
      <c r="J22" s="20" t="str">
        <f t="shared" si="16"/>
        <v xml:space="preserve"> </v>
      </c>
    </row>
    <row r="24" spans="2:10">
      <c r="B24" s="10" t="s">
        <v>12</v>
      </c>
      <c r="H24" s="9"/>
    </row>
    <row r="25" spans="2:10">
      <c r="B25" s="8" t="s">
        <v>6</v>
      </c>
      <c r="C25" s="4">
        <f>IF(C$2&gt;0,(C16*(C$2)/10000)," ")</f>
        <v>1.231544244986881</v>
      </c>
      <c r="D25" s="4">
        <f t="shared" ref="D25:I25" si="17">IF(D$2&gt;0,(D16*(D$2)/10000)," ")</f>
        <v>1.1040931264974105</v>
      </c>
      <c r="E25" s="4" t="str">
        <f t="shared" si="17"/>
        <v xml:space="preserve"> </v>
      </c>
      <c r="F25" s="4" t="str">
        <f t="shared" si="17"/>
        <v xml:space="preserve"> </v>
      </c>
      <c r="G25" s="4" t="str">
        <f t="shared" si="17"/>
        <v xml:space="preserve"> </v>
      </c>
      <c r="H25" s="4" t="str">
        <f t="shared" si="17"/>
        <v xml:space="preserve"> </v>
      </c>
      <c r="I25" s="4" t="str">
        <f t="shared" si="17"/>
        <v xml:space="preserve"> </v>
      </c>
      <c r="J25" s="4" t="str">
        <f t="shared" ref="J25" si="18">IF(J$2&gt;0,(J16*(J$2)/10000)," ")</f>
        <v xml:space="preserve"> </v>
      </c>
    </row>
    <row r="26" spans="2:10">
      <c r="B26" s="8" t="s">
        <v>7</v>
      </c>
      <c r="C26" s="4">
        <f>IF(C$2&gt;0,(C17*(C$2)/10000)," ")</f>
        <v>1.231544244986881</v>
      </c>
      <c r="D26" s="4">
        <f t="shared" ref="D26:I26" si="19">IF(D$2&gt;0,(D17*(D$2)/10000)," ")</f>
        <v>1.1040931264974105</v>
      </c>
      <c r="E26" s="4" t="str">
        <f t="shared" si="19"/>
        <v xml:space="preserve"> </v>
      </c>
      <c r="F26" s="4" t="str">
        <f t="shared" si="19"/>
        <v xml:space="preserve"> </v>
      </c>
      <c r="G26" s="4" t="str">
        <f t="shared" si="19"/>
        <v xml:space="preserve"> </v>
      </c>
      <c r="H26" s="4" t="str">
        <f t="shared" si="19"/>
        <v xml:space="preserve"> </v>
      </c>
      <c r="I26" s="4" t="str">
        <f t="shared" si="19"/>
        <v xml:space="preserve"> </v>
      </c>
      <c r="J26" s="4" t="str">
        <f t="shared" ref="J26:J27" si="20">IF(J$2&gt;0,(J17*(J$2)/10000)," ")</f>
        <v xml:space="preserve"> </v>
      </c>
    </row>
    <row r="27" spans="2:10" s="13" customFormat="1">
      <c r="B27" s="8" t="str">
        <f>IF(B37="**","     Gilts development **","     Gilts development " )</f>
        <v xml:space="preserve">     Gilts development **</v>
      </c>
      <c r="C27" s="5">
        <f>IF(C$2&gt;0,(C18*(C$2)/10000)," ")</f>
        <v>1.1945979176372745</v>
      </c>
      <c r="D27" s="5">
        <f t="shared" ref="D27:I27" si="21">IF(D$2&gt;0,(D18*(D$2)/10000)," ")</f>
        <v>1.0709703327024882</v>
      </c>
      <c r="E27" s="5" t="str">
        <f t="shared" si="21"/>
        <v xml:space="preserve"> </v>
      </c>
      <c r="F27" s="5" t="str">
        <f t="shared" si="21"/>
        <v xml:space="preserve"> </v>
      </c>
      <c r="G27" s="5" t="str">
        <f t="shared" si="21"/>
        <v xml:space="preserve"> </v>
      </c>
      <c r="H27" s="5" t="str">
        <f t="shared" si="21"/>
        <v xml:space="preserve"> </v>
      </c>
      <c r="I27" s="5" t="str">
        <f t="shared" si="21"/>
        <v xml:space="preserve"> </v>
      </c>
      <c r="J27" s="5" t="str">
        <f t="shared" si="20"/>
        <v xml:space="preserve"> </v>
      </c>
    </row>
    <row r="28" spans="2:10">
      <c r="B28" s="8" t="s">
        <v>8</v>
      </c>
      <c r="C28" s="4">
        <f>IF(C$2&gt;0,(C19*(C$2)/10000)," ")</f>
        <v>1.2405850112893297</v>
      </c>
      <c r="D28" s="4">
        <f t="shared" ref="D28:J28" si="22">IF(D$2&gt;0,(D19*(D$2)/10000)," ")</f>
        <v>1.1477500728122447</v>
      </c>
      <c r="E28" s="4" t="str">
        <f t="shared" si="22"/>
        <v xml:space="preserve"> </v>
      </c>
      <c r="F28" s="4" t="str">
        <f t="shared" si="22"/>
        <v xml:space="preserve"> </v>
      </c>
      <c r="G28" s="4" t="str">
        <f t="shared" si="22"/>
        <v xml:space="preserve"> </v>
      </c>
      <c r="H28" s="4" t="str">
        <f t="shared" si="22"/>
        <v xml:space="preserve"> </v>
      </c>
      <c r="I28" s="4" t="str">
        <f t="shared" si="22"/>
        <v xml:space="preserve"> </v>
      </c>
      <c r="J28" s="4" t="str">
        <f t="shared" si="22"/>
        <v xml:space="preserve"> </v>
      </c>
    </row>
    <row r="29" spans="2:10">
      <c r="B29" s="8" t="s">
        <v>9</v>
      </c>
      <c r="C29" s="4">
        <f>IF(C$2&gt;0,(C20*(C$2)/10000)," ")</f>
        <v>1.231544244986881</v>
      </c>
      <c r="D29" s="4">
        <f t="shared" ref="D29:I29" si="23">IF(D$2&gt;0,(D20*(D$2)/10000)," ")</f>
        <v>1.1040931264974105</v>
      </c>
      <c r="E29" s="4" t="str">
        <f t="shared" si="23"/>
        <v xml:space="preserve"> </v>
      </c>
      <c r="F29" s="4" t="str">
        <f t="shared" si="23"/>
        <v xml:space="preserve"> </v>
      </c>
      <c r="G29" s="4" t="str">
        <f t="shared" si="23"/>
        <v xml:space="preserve"> </v>
      </c>
      <c r="H29" s="4" t="str">
        <f t="shared" si="23"/>
        <v xml:space="preserve"> </v>
      </c>
      <c r="I29" s="4" t="str">
        <f t="shared" si="23"/>
        <v xml:space="preserve"> </v>
      </c>
      <c r="J29" s="4" t="str">
        <f>IF(J$2&gt;0,(J20*(J$2)/10000)," ")</f>
        <v xml:space="preserve"> </v>
      </c>
    </row>
    <row r="30" spans="2:10">
      <c r="B30" s="8" t="s">
        <v>13</v>
      </c>
      <c r="C30" s="4">
        <f>IF(C$2&gt;0,AVERAGE(C26,C28)," ")</f>
        <v>1.2360646281381054</v>
      </c>
      <c r="D30" s="4">
        <f t="shared" ref="D30:J30" si="24">IF(D$2&gt;0,AVERAGE(D26,D28)," ")</f>
        <v>1.1259215996548275</v>
      </c>
      <c r="E30" s="4" t="str">
        <f t="shared" si="24"/>
        <v xml:space="preserve"> </v>
      </c>
      <c r="F30" s="4" t="str">
        <f t="shared" si="24"/>
        <v xml:space="preserve"> </v>
      </c>
      <c r="G30" s="4" t="str">
        <f t="shared" si="24"/>
        <v xml:space="preserve"> </v>
      </c>
      <c r="H30" s="4" t="str">
        <f t="shared" si="24"/>
        <v xml:space="preserve"> </v>
      </c>
      <c r="I30" s="4" t="str">
        <f t="shared" si="24"/>
        <v xml:space="preserve"> </v>
      </c>
      <c r="J30" s="4" t="str">
        <f t="shared" si="24"/>
        <v xml:space="preserve"> </v>
      </c>
    </row>
    <row r="31" spans="2:10" hidden="1">
      <c r="B31" s="10" t="s">
        <v>14</v>
      </c>
      <c r="C31" s="19">
        <f>C19/C16</f>
        <v>1.007341</v>
      </c>
      <c r="D31" s="19">
        <f t="shared" ref="D31:J31" si="25">D19/D16</f>
        <v>1.039541</v>
      </c>
      <c r="E31" s="19">
        <f t="shared" si="25"/>
        <v>1.081056</v>
      </c>
      <c r="F31" s="19">
        <f t="shared" si="25"/>
        <v>1.1292180000000001</v>
      </c>
      <c r="G31" s="19">
        <f t="shared" si="25"/>
        <v>1.1805540000000001</v>
      </c>
      <c r="H31" s="19">
        <f t="shared" si="25"/>
        <v>1.2317750000000001</v>
      </c>
      <c r="I31" s="19" t="e">
        <f t="shared" si="25"/>
        <v>#VALUE!</v>
      </c>
      <c r="J31" s="19" t="e">
        <f t="shared" si="25"/>
        <v>#VALUE!</v>
      </c>
    </row>
    <row r="32" spans="2:10" hidden="1">
      <c r="B32" s="10"/>
      <c r="C32" s="19"/>
      <c r="D32" s="19"/>
      <c r="E32" s="19"/>
      <c r="F32" s="19"/>
      <c r="G32" s="19"/>
      <c r="H32" s="19"/>
      <c r="I32" s="19"/>
      <c r="J32" s="19"/>
    </row>
    <row r="33" spans="2:11" ht="21" customHeight="1">
      <c r="B33" s="28" t="s">
        <v>15</v>
      </c>
      <c r="C33" s="26" t="s">
        <v>16</v>
      </c>
      <c r="D33" s="26"/>
      <c r="E33" s="26"/>
      <c r="F33" s="26"/>
      <c r="G33" s="26"/>
      <c r="H33" s="26"/>
      <c r="I33" s="26"/>
      <c r="J33" s="26"/>
    </row>
    <row r="34" spans="2:11" ht="22.9" customHeight="1">
      <c r="B34" s="29"/>
      <c r="C34" s="26"/>
      <c r="D34" s="26"/>
      <c r="E34" s="26"/>
      <c r="F34" s="26"/>
      <c r="G34" s="26"/>
      <c r="H34" s="26"/>
      <c r="I34" s="26"/>
      <c r="J34" s="26"/>
    </row>
    <row r="35" spans="2:11">
      <c r="B35" s="23" t="str">
        <f>(IF(C22&lt;C21,"!",IF(D22&lt;D21,"!",IF(E22&lt;E21,"!",IF(F22&lt;F21,"!",IF(G22&lt;G21,"!",IF(H22&lt;H21,"!",IF(I22&lt;I21,"!",IF(J22&lt;J21,"!"," ")))))))))</f>
        <v xml:space="preserve"> </v>
      </c>
      <c r="C35" s="25" t="str">
        <f>IF(B35="!","Because the weight range is so wide, PIC biological requirement is set as 85% of the requirement at the beginning of the phase"," ")</f>
        <v xml:space="preserve"> </v>
      </c>
      <c r="D35" s="25"/>
      <c r="E35" s="25"/>
      <c r="F35" s="25"/>
      <c r="G35" s="25"/>
      <c r="H35" s="25"/>
      <c r="I35" s="25"/>
      <c r="J35" s="25"/>
      <c r="K35" s="22"/>
    </row>
    <row r="36" spans="2:11">
      <c r="B36" s="23"/>
      <c r="C36" s="25"/>
      <c r="D36" s="25"/>
      <c r="E36" s="25"/>
      <c r="F36" s="25"/>
      <c r="G36" s="25"/>
      <c r="H36" s="25"/>
      <c r="I36" s="25"/>
      <c r="J36" s="25"/>
      <c r="K36" s="22"/>
    </row>
    <row r="37" spans="2:11" ht="15" customHeight="1">
      <c r="B37" s="23" t="str">
        <f>(IF(C18&lt;1.9,"**",IF(D18&lt;1.9,"**",IF(E18&lt;1.9,"**",IF(F18&lt;1.9,"**",IF(G18&lt;1.9,"**",IF(H18&lt;1.9,"**",IF(I18&lt;1.9,"**",IF(J18&lt;1.9,"**"," ")))))))))</f>
        <v>**</v>
      </c>
      <c r="C37" s="25" t="str">
        <f>IF(B37="**","if desired weight at breeding is not met, PIC recommends using 97% of SID Lysine requirement for commercial gilts above 90 kg"," ")</f>
        <v>if desired weight at breeding is not met, PIC recommends using 97% of SID Lysine requirement for commercial gilts above 90 kg</v>
      </c>
      <c r="D37" s="25"/>
      <c r="E37" s="25"/>
      <c r="F37" s="25"/>
      <c r="G37" s="25"/>
      <c r="H37" s="25"/>
      <c r="I37" s="25"/>
      <c r="J37" s="25"/>
    </row>
    <row r="38" spans="2:11" ht="15" customHeight="1">
      <c r="B38" s="23"/>
      <c r="C38" s="25"/>
      <c r="D38" s="25"/>
      <c r="E38" s="25"/>
      <c r="F38" s="25"/>
      <c r="G38" s="25"/>
      <c r="H38" s="25"/>
      <c r="I38" s="25"/>
      <c r="J38" s="25"/>
    </row>
    <row r="39" spans="2:11">
      <c r="I39" s="17"/>
    </row>
    <row r="41" spans="2:11">
      <c r="G41" s="17"/>
    </row>
  </sheetData>
  <sheetProtection algorithmName="SHA-512" hashValue="YMrh9BgUoFaafWpHZUaDHHd3/+V4M9VeSmMOm4VNalcExJGWhoQZKOtc4H6b/eBwnOv41kRqaxxC/gxBDRNK7Q==" saltValue="CWEq9s1mrv9xJv1+iM7Ebw==" spinCount="100000" sheet="1" objects="1" scenarios="1"/>
  <mergeCells count="6">
    <mergeCell ref="B35:B36"/>
    <mergeCell ref="C35:J36"/>
    <mergeCell ref="B37:B38"/>
    <mergeCell ref="C37:J38"/>
    <mergeCell ref="B33:B34"/>
    <mergeCell ref="C33:J34"/>
  </mergeCells>
  <conditionalFormatting sqref="C18:J18">
    <cfRule type="cellIs" dxfId="1" priority="2" operator="lessThanOrEqual">
      <formula>1.9</formula>
    </cfRule>
  </conditionalFormatting>
  <conditionalFormatting sqref="C27:J27">
    <cfRule type="cellIs" dxfId="0" priority="1" operator="lessThanOrEqual">
      <formula>0.65</formula>
    </cfRule>
  </conditionalFormatting>
  <dataValidations count="1">
    <dataValidation type="decimal" errorStyle="warning" allowBlank="1" showInputMessage="1" showErrorMessage="1" error="This calculator is based on data between 11 and 150 kg. It is not recommended to use for body weight outside of this range." sqref="C4:J5" xr:uid="{B3115BE8-5E31-4CA9-9369-CFD925538335}">
      <formula1>11</formula1>
      <formula2>150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5db4dd3-d965-4f48-9195-5e09433551f3">
      <UserInfo>
        <DisplayName>Luis Zaragoza</DisplayName>
        <AccountId>278</AccountId>
        <AccountType/>
      </UserInfo>
      <UserInfo>
        <DisplayName>Dan Hamilton</DisplayName>
        <AccountId>147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EAF373780252469D8E713F107C0349" ma:contentTypeVersion="13" ma:contentTypeDescription="Create a new document." ma:contentTypeScope="" ma:versionID="0b305c50259751f81ea6179a843b316a">
  <xsd:schema xmlns:xsd="http://www.w3.org/2001/XMLSchema" xmlns:xs="http://www.w3.org/2001/XMLSchema" xmlns:p="http://schemas.microsoft.com/office/2006/metadata/properties" xmlns:ns2="6c38bb5c-9d9c-4a98-8d9b-c47eab1446c3" xmlns:ns3="35db4dd3-d965-4f48-9195-5e09433551f3" targetNamespace="http://schemas.microsoft.com/office/2006/metadata/properties" ma:root="true" ma:fieldsID="71911656afef29632e1daf1c0e687c6c" ns2:_="" ns3:_="">
    <xsd:import namespace="6c38bb5c-9d9c-4a98-8d9b-c47eab1446c3"/>
    <xsd:import namespace="35db4dd3-d965-4f48-9195-5e09433551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8bb5c-9d9c-4a98-8d9b-c47eab1446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db4dd3-d965-4f48-9195-5e09433551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350574-65ED-4339-8664-47EF1583304C}"/>
</file>

<file path=customXml/itemProps2.xml><?xml version="1.0" encoding="utf-8"?>
<ds:datastoreItem xmlns:ds="http://schemas.openxmlformats.org/officeDocument/2006/customXml" ds:itemID="{B2325E3E-A004-4448-908E-37F4EB0D14EC}"/>
</file>

<file path=customXml/itemProps3.xml><?xml version="1.0" encoding="utf-8"?>
<ds:datastoreItem xmlns:ds="http://schemas.openxmlformats.org/officeDocument/2006/customXml" ds:itemID="{805451B9-EC77-45A8-AB1C-FDF097207A7A}"/>
</file>

<file path=docProps/app.xml><?xml version="1.0" encoding="utf-8"?>
<Properties xmlns="http://schemas.openxmlformats.org/officeDocument/2006/extended-properties" xmlns:vt="http://schemas.openxmlformats.org/officeDocument/2006/docPropsVTypes">
  <Application>Microsoft Excel Online</Application>
  <Manager/>
  <Company>Genus, Plc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mgoncalves</dc:creator>
  <cp:keywords/>
  <dc:description/>
  <cp:lastModifiedBy>Luis Zaragoza</cp:lastModifiedBy>
  <cp:revision/>
  <dcterms:created xsi:type="dcterms:W3CDTF">2016-02-24T09:53:59Z</dcterms:created>
  <dcterms:modified xsi:type="dcterms:W3CDTF">2021-11-08T17:31:58Z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0x01010092EAF373780252469D8E713F107C0349</vt:lpwstr>
  </property>
  <property fmtid="{D5CDD505-2E9C-101B-9397-08002B2CF9AE}" pid="3" name="Order">
    <vt:r8>1200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