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66925"/>
  <mc:AlternateContent xmlns:mc="http://schemas.openxmlformats.org/markup-compatibility/2006">
    <mc:Choice Requires="x15">
      <x15ac:absPath xmlns:x15ac="http://schemas.microsoft.com/office/spreadsheetml/2010/11/ac" url="C:\Users\amarek\Downloads\"/>
    </mc:Choice>
  </mc:AlternateContent>
  <xr:revisionPtr revIDLastSave="0" documentId="8_{C523FAFD-B4A1-4E25-87FF-AF62D6B11C36}" xr6:coauthVersionLast="46" xr6:coauthVersionMax="46" xr10:uidLastSave="{00000000-0000-0000-0000-000000000000}"/>
  <workbookProtection workbookAlgorithmName="SHA-512" workbookHashValue="fM9C4U/iXHpU++RGLZzYLfvLBXdowZzous7UyUnDjBK/2ZARqqLwdEFvQXzP7HwJVvZ7gxCMHvp3YOkejwVsKQ==" workbookSaltValue="jBFv4W/jai5y3iMD1TFd9A==" workbookSpinCount="100000" lockStructure="1"/>
  <bookViews>
    <workbookView xWindow="28680" yWindow="-120" windowWidth="29040" windowHeight="15840" tabRatio="946" xr2:uid="{5FED59C8-FC3F-1D42-9E95-0ACAB04E4706}"/>
  </bookViews>
  <sheets>
    <sheet name="Instructions" sheetId="7" r:id="rId1"/>
    <sheet name="STTD P Energy equation" sheetId="5" state="hidden" r:id="rId2"/>
    <sheet name="NRC 2012" sheetId="8" state="hidden" r:id="rId3"/>
    <sheet name="Finisher Model - NE Metric" sheetId="1" r:id="rId4"/>
    <sheet name="Current Performance - NE " sheetId="2" state="hidden" r:id="rId5"/>
    <sheet name="FW - Projected Performance - NE" sheetId="3" state="hidden" r:id="rId6"/>
    <sheet name="FT - Projected Performance - NE" sheetId="4" state="hidden" r:id="rId7"/>
    <sheet name="Finisher Model - ME Metric" sheetId="9" r:id="rId8"/>
    <sheet name="Current Performance - ME" sheetId="11" state="hidden" r:id="rId9"/>
    <sheet name="FW - Projected Performance - ME" sheetId="12" state="hidden" r:id="rId10"/>
    <sheet name="FT - Projected Performance - ME" sheetId="13" state="hidden" r:id="rId11"/>
  </sheets>
  <externalReferences>
    <externalReference r:id="rId12"/>
  </externalReferences>
  <definedNames>
    <definedName name="Drug_costs_per_gram">'[1]Feed drugs'!$A$2:$J$19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9" i="9" l="1"/>
  <c r="F9" i="1"/>
  <c r="C83" i="1"/>
  <c r="D83" i="1" s="1"/>
  <c r="B20" i="1" s="1"/>
  <c r="C82" i="1"/>
  <c r="D82" i="1" s="1"/>
  <c r="C19" i="1" s="1"/>
  <c r="B82" i="1" s="1"/>
  <c r="C81" i="1"/>
  <c r="D81" i="1" s="1"/>
  <c r="C18" i="1" s="1"/>
  <c r="B81" i="1" s="1"/>
  <c r="C80" i="1"/>
  <c r="D80" i="1" s="1"/>
  <c r="C17" i="1" s="1"/>
  <c r="B80" i="1" s="1"/>
  <c r="C79" i="1"/>
  <c r="D79" i="1" s="1"/>
  <c r="C78" i="1"/>
  <c r="D78" i="1" s="1"/>
  <c r="E11" i="1" s="1"/>
  <c r="B78" i="1"/>
  <c r="W5" i="1"/>
  <c r="Y5" i="1" s="1"/>
  <c r="U5" i="1"/>
  <c r="B15" i="1"/>
  <c r="B16" i="1" l="1"/>
  <c r="B17" i="1" s="1"/>
  <c r="B18" i="1" s="1"/>
  <c r="B19" i="1" s="1"/>
  <c r="C16" i="1"/>
  <c r="B79" i="1" s="1"/>
  <c r="C20" i="1"/>
  <c r="B83" i="1" s="1"/>
  <c r="X5" i="1"/>
  <c r="C83" i="9"/>
  <c r="D83" i="9" s="1"/>
  <c r="C20" i="9" s="1"/>
  <c r="B83" i="9" s="1"/>
  <c r="C82" i="9"/>
  <c r="D82" i="9" s="1"/>
  <c r="C19" i="9" s="1"/>
  <c r="B82" i="9" s="1"/>
  <c r="C81" i="9"/>
  <c r="D81" i="9" s="1"/>
  <c r="C18" i="9" s="1"/>
  <c r="B81" i="9" s="1"/>
  <c r="C80" i="9"/>
  <c r="D80" i="9" s="1"/>
  <c r="C79" i="9"/>
  <c r="D79" i="9" s="1"/>
  <c r="C16" i="9" s="1"/>
  <c r="C78" i="9"/>
  <c r="D78" i="9" s="1"/>
  <c r="B78" i="9"/>
  <c r="W40" i="9"/>
  <c r="Y40" i="9" s="1"/>
  <c r="E11" i="9" l="1"/>
  <c r="C17" i="9"/>
  <c r="X40" i="9"/>
  <c r="B80" i="9" l="1"/>
  <c r="B79" i="9"/>
  <c r="B15" i="9"/>
  <c r="B16" i="9" s="1"/>
  <c r="B17" i="9" s="1"/>
  <c r="B18" i="9" s="1"/>
  <c r="B19" i="9" s="1"/>
  <c r="B20" i="9" s="1"/>
  <c r="V61" i="9" l="1"/>
  <c r="Z52" i="9" s="1"/>
  <c r="I15" i="9" s="1"/>
  <c r="B6" i="11"/>
  <c r="B5" i="11"/>
  <c r="B10" i="11" s="1"/>
  <c r="V62" i="9"/>
  <c r="C5" i="11"/>
  <c r="C6" i="11"/>
  <c r="V63" i="9"/>
  <c r="Z60" i="9" s="1"/>
  <c r="I17" i="9" s="1"/>
  <c r="F17" i="9" s="1"/>
  <c r="D5" i="11"/>
  <c r="D6" i="11"/>
  <c r="V64" i="9"/>
  <c r="X64" i="9" s="1"/>
  <c r="E5" i="11"/>
  <c r="E6" i="11"/>
  <c r="V65" i="9"/>
  <c r="X65" i="9" s="1"/>
  <c r="F5" i="11"/>
  <c r="F6" i="11"/>
  <c r="V66" i="9"/>
  <c r="X66" i="9" s="1"/>
  <c r="G5" i="11"/>
  <c r="G6" i="11"/>
  <c r="B6" i="12"/>
  <c r="B5" i="12"/>
  <c r="C5" i="12"/>
  <c r="C6" i="12"/>
  <c r="D5" i="12"/>
  <c r="D6" i="12"/>
  <c r="E5" i="12"/>
  <c r="E6" i="12"/>
  <c r="F5" i="12"/>
  <c r="F6" i="12"/>
  <c r="G5" i="12"/>
  <c r="G6" i="12"/>
  <c r="B40" i="13"/>
  <c r="H49" i="12"/>
  <c r="G49" i="12"/>
  <c r="C49" i="12"/>
  <c r="B49" i="12"/>
  <c r="C42" i="11"/>
  <c r="B42" i="11"/>
  <c r="G45" i="9"/>
  <c r="G45" i="1"/>
  <c r="G8" i="13"/>
  <c r="F8" i="13"/>
  <c r="E8" i="13"/>
  <c r="D8" i="13"/>
  <c r="C8" i="13"/>
  <c r="B8" i="13"/>
  <c r="G8" i="12"/>
  <c r="F8" i="12"/>
  <c r="E8" i="12"/>
  <c r="D8" i="12"/>
  <c r="C8" i="12"/>
  <c r="B8" i="12"/>
  <c r="G8" i="11"/>
  <c r="F8" i="11"/>
  <c r="E8" i="11"/>
  <c r="D8" i="11"/>
  <c r="C8" i="11"/>
  <c r="B8" i="11"/>
  <c r="H54" i="12"/>
  <c r="G55" i="12" s="1"/>
  <c r="H53" i="12"/>
  <c r="G54" i="12" s="1"/>
  <c r="H52" i="12"/>
  <c r="G53" i="12" s="1"/>
  <c r="G52" i="12"/>
  <c r="H55" i="3"/>
  <c r="G56" i="3" s="1"/>
  <c r="G55" i="3"/>
  <c r="H52" i="3"/>
  <c r="G52" i="3"/>
  <c r="C43" i="13"/>
  <c r="B44" i="13" s="1"/>
  <c r="B43" i="13"/>
  <c r="C53" i="12"/>
  <c r="B54" i="12" s="1"/>
  <c r="C54" i="12"/>
  <c r="C55" i="12"/>
  <c r="B56" i="12" s="1"/>
  <c r="C56" i="12"/>
  <c r="B57" i="12" s="1"/>
  <c r="C57" i="12"/>
  <c r="B58" i="12" s="1"/>
  <c r="C52" i="12"/>
  <c r="B53" i="12" s="1"/>
  <c r="B52" i="12"/>
  <c r="B45" i="11"/>
  <c r="C46" i="11"/>
  <c r="B47" i="11" s="1"/>
  <c r="C47" i="11"/>
  <c r="B48" i="11" s="1"/>
  <c r="C48" i="11"/>
  <c r="C49" i="11"/>
  <c r="B50" i="11" s="1"/>
  <c r="C50" i="11"/>
  <c r="B51" i="11" s="1"/>
  <c r="C45" i="11"/>
  <c r="B46" i="11" s="1"/>
  <c r="C43" i="4"/>
  <c r="B44" i="4" s="1"/>
  <c r="B43" i="4"/>
  <c r="B40" i="4"/>
  <c r="B9" i="4"/>
  <c r="G8" i="4"/>
  <c r="F8" i="4"/>
  <c r="E8" i="4"/>
  <c r="D8" i="4"/>
  <c r="C8" i="4"/>
  <c r="B8" i="4"/>
  <c r="C56" i="3"/>
  <c r="B57" i="3" s="1"/>
  <c r="C57" i="3"/>
  <c r="B58" i="3" s="1"/>
  <c r="C58" i="3"/>
  <c r="B59" i="3" s="1"/>
  <c r="C59" i="3"/>
  <c r="B60" i="3" s="1"/>
  <c r="C60" i="3"/>
  <c r="B61" i="3" s="1"/>
  <c r="C55" i="3"/>
  <c r="B56" i="3" s="1"/>
  <c r="B55" i="3"/>
  <c r="C52" i="3"/>
  <c r="B52" i="3"/>
  <c r="G8" i="3"/>
  <c r="F8" i="3"/>
  <c r="E8" i="3"/>
  <c r="D8" i="3"/>
  <c r="C8" i="3"/>
  <c r="B8" i="3"/>
  <c r="C42" i="2"/>
  <c r="B42" i="2"/>
  <c r="B30" i="2"/>
  <c r="C46" i="2"/>
  <c r="B47" i="2" s="1"/>
  <c r="C47" i="2"/>
  <c r="B48" i="2" s="1"/>
  <c r="C48" i="2"/>
  <c r="B49" i="2" s="1"/>
  <c r="C49" i="2"/>
  <c r="B50" i="2" s="1"/>
  <c r="C50" i="2"/>
  <c r="B51" i="2" s="1"/>
  <c r="C45" i="2"/>
  <c r="B46" i="2" s="1"/>
  <c r="B45" i="2"/>
  <c r="G8" i="2"/>
  <c r="F8" i="2"/>
  <c r="E8" i="2"/>
  <c r="D8" i="2"/>
  <c r="C8" i="2"/>
  <c r="B8" i="2"/>
  <c r="W28" i="1"/>
  <c r="W27" i="1"/>
  <c r="W26" i="1"/>
  <c r="W25" i="1"/>
  <c r="W24" i="1"/>
  <c r="W23" i="1"/>
  <c r="V23" i="1"/>
  <c r="X23" i="1" s="1"/>
  <c r="B27" i="13"/>
  <c r="G9" i="13"/>
  <c r="F9" i="13"/>
  <c r="E9" i="13"/>
  <c r="D9" i="13"/>
  <c r="C9" i="13"/>
  <c r="B9" i="13"/>
  <c r="G6" i="13"/>
  <c r="F6" i="13"/>
  <c r="E6" i="13"/>
  <c r="D6" i="13"/>
  <c r="C6" i="13"/>
  <c r="G5" i="13"/>
  <c r="F5" i="13"/>
  <c r="E5" i="13"/>
  <c r="D5" i="13"/>
  <c r="C5" i="13"/>
  <c r="B6" i="13"/>
  <c r="B5" i="13"/>
  <c r="B31" i="13"/>
  <c r="B37" i="12"/>
  <c r="G9" i="12"/>
  <c r="F9" i="12"/>
  <c r="E9" i="12"/>
  <c r="D9" i="12"/>
  <c r="C9" i="12"/>
  <c r="B9" i="12"/>
  <c r="B41" i="12"/>
  <c r="B30" i="11"/>
  <c r="G9" i="11"/>
  <c r="F9" i="11"/>
  <c r="E9" i="11"/>
  <c r="D9" i="11"/>
  <c r="C9" i="11"/>
  <c r="B9" i="11"/>
  <c r="B34" i="11"/>
  <c r="W66" i="9"/>
  <c r="W65" i="9"/>
  <c r="W64" i="9"/>
  <c r="W63" i="9"/>
  <c r="W62" i="9"/>
  <c r="W61" i="9"/>
  <c r="L5" i="5"/>
  <c r="L6" i="5"/>
  <c r="L7" i="5"/>
  <c r="L8" i="5"/>
  <c r="L4" i="5"/>
  <c r="G4" i="5"/>
  <c r="C45" i="13"/>
  <c r="B46" i="13" s="1"/>
  <c r="C44" i="13"/>
  <c r="B45" i="13" s="1"/>
  <c r="B41" i="3"/>
  <c r="B27" i="4"/>
  <c r="B31" i="4"/>
  <c r="B37" i="3"/>
  <c r="B34" i="2"/>
  <c r="I50" i="8"/>
  <c r="I51" i="8"/>
  <c r="I52" i="8"/>
  <c r="I53" i="8"/>
  <c r="I54" i="8"/>
  <c r="J54" i="8"/>
  <c r="J51" i="8"/>
  <c r="J52" i="8"/>
  <c r="J53" i="8"/>
  <c r="J50" i="8"/>
  <c r="G9" i="4"/>
  <c r="E9" i="4"/>
  <c r="G6" i="4"/>
  <c r="G5" i="4"/>
  <c r="G9" i="3"/>
  <c r="G6" i="3"/>
  <c r="G5" i="3"/>
  <c r="G9" i="2"/>
  <c r="G6" i="2"/>
  <c r="G5" i="2"/>
  <c r="V28" i="1"/>
  <c r="Z48" i="1" s="1"/>
  <c r="I20" i="1" s="1"/>
  <c r="V27" i="1"/>
  <c r="Z44" i="1" s="1"/>
  <c r="I19" i="1" s="1"/>
  <c r="F19" i="1" s="1"/>
  <c r="E5" i="2"/>
  <c r="E6" i="2"/>
  <c r="I5" i="5"/>
  <c r="I6" i="5"/>
  <c r="I7" i="5"/>
  <c r="I8" i="5"/>
  <c r="I4" i="5"/>
  <c r="G5" i="5"/>
  <c r="G6" i="5"/>
  <c r="G7" i="5"/>
  <c r="G8" i="5"/>
  <c r="F9" i="4"/>
  <c r="D9" i="4"/>
  <c r="C9" i="4"/>
  <c r="F6" i="4"/>
  <c r="E6" i="4"/>
  <c r="D6" i="4"/>
  <c r="C6" i="4"/>
  <c r="B6" i="4"/>
  <c r="B5" i="4"/>
  <c r="F9" i="3"/>
  <c r="E9" i="3"/>
  <c r="D9" i="3"/>
  <c r="C9" i="3"/>
  <c r="B9" i="3"/>
  <c r="F6" i="3"/>
  <c r="E6" i="3"/>
  <c r="D6" i="3"/>
  <c r="C6" i="3"/>
  <c r="B6" i="3"/>
  <c r="B5" i="3"/>
  <c r="F9" i="2"/>
  <c r="E9" i="2"/>
  <c r="D9" i="2"/>
  <c r="C9" i="2"/>
  <c r="B9" i="2"/>
  <c r="F6" i="2"/>
  <c r="D6" i="2"/>
  <c r="C6" i="2"/>
  <c r="B6" i="2"/>
  <c r="B5" i="2"/>
  <c r="F5" i="4"/>
  <c r="F5" i="3"/>
  <c r="F5" i="2"/>
  <c r="E5" i="4"/>
  <c r="E5" i="3"/>
  <c r="D5" i="4"/>
  <c r="D5" i="3"/>
  <c r="D5" i="2"/>
  <c r="V24" i="1"/>
  <c r="Z18" i="1" s="1"/>
  <c r="I16" i="1" s="1"/>
  <c r="F16" i="1" s="1"/>
  <c r="C5" i="4"/>
  <c r="C5" i="3"/>
  <c r="C5" i="2"/>
  <c r="V25" i="1"/>
  <c r="Z22" i="1" s="1"/>
  <c r="I17" i="1" s="1"/>
  <c r="F17" i="1" s="1"/>
  <c r="V26" i="1"/>
  <c r="Z26" i="1" s="1"/>
  <c r="I18" i="1" s="1"/>
  <c r="F18" i="1" s="1"/>
  <c r="C45" i="4"/>
  <c r="C44" i="4"/>
  <c r="B45" i="4" s="1"/>
  <c r="H56" i="3"/>
  <c r="G57" i="3" s="1"/>
  <c r="H57" i="3"/>
  <c r="G58" i="3" s="1"/>
  <c r="C10" i="12" l="1"/>
  <c r="U40" i="9"/>
  <c r="F15" i="9"/>
  <c r="X27" i="1"/>
  <c r="S27" i="1" s="1"/>
  <c r="F12" i="2" s="1"/>
  <c r="F7" i="12"/>
  <c r="Z56" i="9"/>
  <c r="I16" i="9" s="1"/>
  <c r="F16" i="9" s="1"/>
  <c r="G7" i="12"/>
  <c r="C7" i="12"/>
  <c r="G10" i="11"/>
  <c r="Z68" i="9"/>
  <c r="I19" i="9" s="1"/>
  <c r="C10" i="11"/>
  <c r="C7" i="11"/>
  <c r="G10" i="2"/>
  <c r="F7" i="13"/>
  <c r="Z64" i="9"/>
  <c r="I18" i="9" s="1"/>
  <c r="F10" i="2"/>
  <c r="Z73" i="9"/>
  <c r="I20" i="9" s="1"/>
  <c r="Q66" i="9" s="1"/>
  <c r="G11" i="12" s="1"/>
  <c r="E10" i="12"/>
  <c r="B10" i="4"/>
  <c r="B7" i="4"/>
  <c r="F7" i="3"/>
  <c r="G10" i="4"/>
  <c r="F7" i="2"/>
  <c r="G7" i="2"/>
  <c r="E10" i="3"/>
  <c r="E10" i="2"/>
  <c r="X25" i="1"/>
  <c r="S25" i="1" s="1"/>
  <c r="D32" i="2" s="1"/>
  <c r="Z14" i="1"/>
  <c r="I15" i="1" s="1"/>
  <c r="F15" i="1" s="1"/>
  <c r="G7" i="11"/>
  <c r="G7" i="4"/>
  <c r="C10" i="4"/>
  <c r="D10" i="4"/>
  <c r="F10" i="3"/>
  <c r="C10" i="2"/>
  <c r="B10" i="3"/>
  <c r="E7" i="3"/>
  <c r="G10" i="3"/>
  <c r="F10" i="4"/>
  <c r="B7" i="12"/>
  <c r="F10" i="11"/>
  <c r="B7" i="11"/>
  <c r="F10" i="12"/>
  <c r="E7" i="2"/>
  <c r="C7" i="4"/>
  <c r="X26" i="1"/>
  <c r="S26" i="1" s="1"/>
  <c r="E31" i="3" s="1"/>
  <c r="C7" i="2"/>
  <c r="D7" i="4"/>
  <c r="W43" i="1"/>
  <c r="X24" i="1"/>
  <c r="S24" i="1" s="1"/>
  <c r="F32" i="2"/>
  <c r="F26" i="2"/>
  <c r="F7" i="4"/>
  <c r="X28" i="1"/>
  <c r="S28" i="1" s="1"/>
  <c r="B7" i="3"/>
  <c r="G10" i="13"/>
  <c r="S66" i="9"/>
  <c r="G10" i="12"/>
  <c r="F7" i="11"/>
  <c r="F10" i="13"/>
  <c r="E7" i="12"/>
  <c r="E7" i="13"/>
  <c r="E7" i="11"/>
  <c r="E10" i="11"/>
  <c r="D7" i="12"/>
  <c r="D7" i="11"/>
  <c r="D10" i="11"/>
  <c r="X63" i="9"/>
  <c r="Q63" i="9" s="1"/>
  <c r="C10" i="13"/>
  <c r="X62" i="9"/>
  <c r="C7" i="13"/>
  <c r="W67" i="9"/>
  <c r="B10" i="12"/>
  <c r="X61" i="9"/>
  <c r="Q61" i="9" s="1"/>
  <c r="B46" i="4"/>
  <c r="C7" i="3"/>
  <c r="C10" i="3"/>
  <c r="D10" i="2"/>
  <c r="D7" i="2"/>
  <c r="E7" i="4"/>
  <c r="E10" i="4"/>
  <c r="D10" i="3"/>
  <c r="D7" i="3"/>
  <c r="G7" i="3"/>
  <c r="B7" i="2"/>
  <c r="B10" i="2"/>
  <c r="B55" i="12"/>
  <c r="B7" i="13"/>
  <c r="B10" i="13"/>
  <c r="D7" i="13"/>
  <c r="D10" i="13"/>
  <c r="B49" i="11"/>
  <c r="E10" i="13"/>
  <c r="G7" i="13"/>
  <c r="D10" i="12"/>
  <c r="F31" i="3" l="1"/>
  <c r="F11" i="2"/>
  <c r="Q65" i="9"/>
  <c r="F11" i="13" s="1"/>
  <c r="F19" i="9"/>
  <c r="S65" i="9" s="1"/>
  <c r="F31" i="12" s="1"/>
  <c r="Q64" i="9"/>
  <c r="E11" i="12" s="1"/>
  <c r="E16" i="12" s="1"/>
  <c r="F18" i="9"/>
  <c r="S64" i="9" s="1"/>
  <c r="Q25" i="1"/>
  <c r="D39" i="3" s="1"/>
  <c r="Q27" i="1"/>
  <c r="F12" i="3" s="1"/>
  <c r="Q62" i="9"/>
  <c r="C12" i="13" s="1"/>
  <c r="F39" i="12"/>
  <c r="F16" i="2"/>
  <c r="F16" i="4" s="1"/>
  <c r="Q23" i="1"/>
  <c r="B11" i="4" s="1"/>
  <c r="S23" i="1"/>
  <c r="F12" i="12"/>
  <c r="D26" i="2"/>
  <c r="D11" i="2"/>
  <c r="D16" i="2" s="1"/>
  <c r="D16" i="4" s="1"/>
  <c r="D31" i="3"/>
  <c r="L15" i="1"/>
  <c r="E12" i="2"/>
  <c r="E32" i="2"/>
  <c r="E11" i="2"/>
  <c r="D12" i="2"/>
  <c r="B11" i="12"/>
  <c r="B17" i="12" s="1"/>
  <c r="B39" i="12"/>
  <c r="B29" i="13"/>
  <c r="B12" i="12"/>
  <c r="B11" i="13"/>
  <c r="B12" i="13"/>
  <c r="S61" i="9"/>
  <c r="B12" i="11" s="1"/>
  <c r="E26" i="2"/>
  <c r="Q26" i="1"/>
  <c r="C12" i="2"/>
  <c r="C26" i="2"/>
  <c r="C32" i="2"/>
  <c r="C11" i="2"/>
  <c r="C31" i="3"/>
  <c r="Q24" i="1"/>
  <c r="G26" i="2"/>
  <c r="G11" i="2"/>
  <c r="G16" i="2" s="1"/>
  <c r="G12" i="2"/>
  <c r="G32" i="2"/>
  <c r="G31" i="3"/>
  <c r="F13" i="2"/>
  <c r="F14" i="2" s="1"/>
  <c r="Q28" i="1"/>
  <c r="G11" i="13"/>
  <c r="G39" i="12"/>
  <c r="G29" i="13"/>
  <c r="G12" i="12"/>
  <c r="G13" i="12" s="1"/>
  <c r="G14" i="12" s="1"/>
  <c r="G12" i="13"/>
  <c r="G11" i="11"/>
  <c r="G31" i="12"/>
  <c r="G26" i="11"/>
  <c r="G32" i="11"/>
  <c r="G12" i="11"/>
  <c r="F12" i="11"/>
  <c r="F26" i="11"/>
  <c r="F11" i="11"/>
  <c r="E12" i="13"/>
  <c r="E31" i="12"/>
  <c r="E32" i="11"/>
  <c r="E11" i="11"/>
  <c r="E26" i="11"/>
  <c r="E12" i="11"/>
  <c r="D29" i="13"/>
  <c r="D12" i="12"/>
  <c r="D39" i="12"/>
  <c r="D11" i="13"/>
  <c r="D11" i="12"/>
  <c r="D17" i="12" s="1"/>
  <c r="D12" i="13"/>
  <c r="S63" i="9"/>
  <c r="C29" i="13"/>
  <c r="S62" i="9"/>
  <c r="G16" i="12"/>
  <c r="G22" i="12" s="1"/>
  <c r="G28" i="12" s="1"/>
  <c r="E29" i="13" l="1"/>
  <c r="F11" i="12"/>
  <c r="E12" i="12"/>
  <c r="E13" i="12" s="1"/>
  <c r="E14" i="12" s="1"/>
  <c r="E11" i="13"/>
  <c r="C39" i="12"/>
  <c r="F32" i="11"/>
  <c r="F29" i="13"/>
  <c r="E39" i="12"/>
  <c r="F12" i="13"/>
  <c r="F13" i="13" s="1"/>
  <c r="F14" i="13" s="1"/>
  <c r="D29" i="4"/>
  <c r="C11" i="12"/>
  <c r="C17" i="12" s="1"/>
  <c r="C23" i="12" s="1"/>
  <c r="D11" i="3"/>
  <c r="D16" i="3" s="1"/>
  <c r="D22" i="3" s="1"/>
  <c r="D28" i="3" s="1"/>
  <c r="D12" i="4"/>
  <c r="D11" i="4"/>
  <c r="D19" i="4" s="1"/>
  <c r="D22" i="4" s="1"/>
  <c r="D12" i="3"/>
  <c r="F39" i="3"/>
  <c r="F12" i="4"/>
  <c r="F29" i="4"/>
  <c r="F11" i="4"/>
  <c r="F11" i="3"/>
  <c r="F13" i="3" s="1"/>
  <c r="F14" i="3" s="1"/>
  <c r="C12" i="12"/>
  <c r="C11" i="13"/>
  <c r="C13" i="13" s="1"/>
  <c r="C14" i="13" s="1"/>
  <c r="F13" i="12"/>
  <c r="F14" i="12" s="1"/>
  <c r="B39" i="3"/>
  <c r="B29" i="4"/>
  <c r="B12" i="3"/>
  <c r="B11" i="3"/>
  <c r="B16" i="3" s="1"/>
  <c r="B22" i="3" s="1"/>
  <c r="B12" i="4"/>
  <c r="B13" i="4" s="1"/>
  <c r="B14" i="4" s="1"/>
  <c r="E13" i="2"/>
  <c r="E14" i="2" s="1"/>
  <c r="F16" i="12"/>
  <c r="F22" i="12" s="1"/>
  <c r="F28" i="12" s="1"/>
  <c r="F19" i="2"/>
  <c r="F23" i="2" s="1"/>
  <c r="D13" i="2"/>
  <c r="D14" i="2" s="1"/>
  <c r="B16" i="12"/>
  <c r="D13" i="12"/>
  <c r="D14" i="12" s="1"/>
  <c r="B13" i="13"/>
  <c r="B14" i="13" s="1"/>
  <c r="B11" i="2"/>
  <c r="B32" i="2"/>
  <c r="B31" i="3"/>
  <c r="B12" i="2"/>
  <c r="B26" i="2"/>
  <c r="B32" i="11"/>
  <c r="B11" i="11"/>
  <c r="B13" i="11" s="1"/>
  <c r="B14" i="11" s="1"/>
  <c r="D19" i="2"/>
  <c r="D23" i="2" s="1"/>
  <c r="E16" i="2"/>
  <c r="E16" i="4" s="1"/>
  <c r="D13" i="13"/>
  <c r="D14" i="13" s="1"/>
  <c r="B13" i="12"/>
  <c r="B14" i="12" s="1"/>
  <c r="B23" i="12"/>
  <c r="D17" i="3"/>
  <c r="D23" i="3" s="1"/>
  <c r="B31" i="12"/>
  <c r="B26" i="11"/>
  <c r="D16" i="12"/>
  <c r="D22" i="12" s="1"/>
  <c r="D28" i="12" s="1"/>
  <c r="E12" i="4"/>
  <c r="E39" i="3"/>
  <c r="E29" i="4"/>
  <c r="E12" i="3"/>
  <c r="E11" i="3"/>
  <c r="E16" i="3" s="1"/>
  <c r="E22" i="3" s="1"/>
  <c r="E28" i="3" s="1"/>
  <c r="E11" i="4"/>
  <c r="C16" i="2"/>
  <c r="C19" i="2" s="1"/>
  <c r="C39" i="3"/>
  <c r="C11" i="3"/>
  <c r="C12" i="3"/>
  <c r="C11" i="4"/>
  <c r="C29" i="4"/>
  <c r="C12" i="4"/>
  <c r="C13" i="2"/>
  <c r="C14" i="2" s="1"/>
  <c r="G12" i="3"/>
  <c r="G39" i="3"/>
  <c r="G11" i="4"/>
  <c r="G12" i="4"/>
  <c r="G11" i="3"/>
  <c r="G29" i="4"/>
  <c r="G13" i="2"/>
  <c r="G14" i="2" s="1"/>
  <c r="G19" i="2"/>
  <c r="G23" i="2" s="1"/>
  <c r="G16" i="4"/>
  <c r="G13" i="11"/>
  <c r="G14" i="11" s="1"/>
  <c r="G16" i="11"/>
  <c r="G16" i="13" s="1"/>
  <c r="G19" i="13" s="1"/>
  <c r="G22" i="13" s="1"/>
  <c r="G13" i="13"/>
  <c r="G14" i="13" s="1"/>
  <c r="F16" i="11"/>
  <c r="F16" i="13" s="1"/>
  <c r="F19" i="13" s="1"/>
  <c r="F22" i="13" s="1"/>
  <c r="F13" i="11"/>
  <c r="F14" i="11" s="1"/>
  <c r="E16" i="11"/>
  <c r="E16" i="13" s="1"/>
  <c r="E13" i="11"/>
  <c r="E14" i="11" s="1"/>
  <c r="E13" i="13"/>
  <c r="E14" i="13" s="1"/>
  <c r="D11" i="11"/>
  <c r="D26" i="11"/>
  <c r="D12" i="11"/>
  <c r="D32" i="11"/>
  <c r="D31" i="12"/>
  <c r="C11" i="11"/>
  <c r="C26" i="11"/>
  <c r="C12" i="11"/>
  <c r="C32" i="11"/>
  <c r="C31" i="12"/>
  <c r="E22" i="12"/>
  <c r="E28" i="12" s="1"/>
  <c r="D23" i="12"/>
  <c r="L20" i="12" l="1"/>
  <c r="E19" i="13"/>
  <c r="E22" i="13" s="1"/>
  <c r="C13" i="12"/>
  <c r="C14" i="12" s="1"/>
  <c r="C16" i="12"/>
  <c r="C22" i="12" s="1"/>
  <c r="C28" i="12" s="1"/>
  <c r="B28" i="3"/>
  <c r="M20" i="12"/>
  <c r="L17" i="12"/>
  <c r="D13" i="3"/>
  <c r="D14" i="3" s="1"/>
  <c r="D13" i="4"/>
  <c r="D14" i="4" s="1"/>
  <c r="F13" i="4"/>
  <c r="F14" i="4" s="1"/>
  <c r="F16" i="3"/>
  <c r="F22" i="3" s="1"/>
  <c r="F28" i="3" s="1"/>
  <c r="F19" i="4"/>
  <c r="F22" i="4" s="1"/>
  <c r="B17" i="3"/>
  <c r="B23" i="3" s="1"/>
  <c r="B13" i="3"/>
  <c r="B14" i="3" s="1"/>
  <c r="B16" i="11"/>
  <c r="B19" i="11" s="1"/>
  <c r="B23" i="11" s="1"/>
  <c r="M9" i="12"/>
  <c r="B22" i="12"/>
  <c r="H22" i="12" s="1"/>
  <c r="B36" i="12" s="1"/>
  <c r="B38" i="12" s="1"/>
  <c r="B13" i="2"/>
  <c r="B14" i="2" s="1"/>
  <c r="B16" i="2"/>
  <c r="B16" i="4" s="1"/>
  <c r="B19" i="4" s="1"/>
  <c r="B15" i="12"/>
  <c r="D49" i="12" s="1"/>
  <c r="E57" i="12" s="1"/>
  <c r="P9" i="12"/>
  <c r="E19" i="2"/>
  <c r="E23" i="2" s="1"/>
  <c r="E13" i="3"/>
  <c r="E14" i="3" s="1"/>
  <c r="E13" i="4"/>
  <c r="E14" i="4" s="1"/>
  <c r="E19" i="4"/>
  <c r="E22" i="4" s="1"/>
  <c r="C23" i="2"/>
  <c r="C13" i="3"/>
  <c r="C14" i="3" s="1"/>
  <c r="C16" i="3"/>
  <c r="C22" i="3" s="1"/>
  <c r="L13" i="3" s="1"/>
  <c r="C17" i="3"/>
  <c r="C13" i="4"/>
  <c r="C14" i="4" s="1"/>
  <c r="C16" i="4"/>
  <c r="G19" i="4"/>
  <c r="G22" i="4" s="1"/>
  <c r="G13" i="4"/>
  <c r="G14" i="4" s="1"/>
  <c r="G16" i="3"/>
  <c r="G22" i="3" s="1"/>
  <c r="G28" i="3" s="1"/>
  <c r="G13" i="3"/>
  <c r="G14" i="3" s="1"/>
  <c r="G19" i="11"/>
  <c r="G23" i="11" s="1"/>
  <c r="F19" i="11"/>
  <c r="F23" i="11" s="1"/>
  <c r="E19" i="11"/>
  <c r="E23" i="11" s="1"/>
  <c r="D13" i="11"/>
  <c r="D14" i="11" s="1"/>
  <c r="D16" i="11"/>
  <c r="D16" i="13" s="1"/>
  <c r="D19" i="13" s="1"/>
  <c r="D22" i="13" s="1"/>
  <c r="C13" i="11"/>
  <c r="C14" i="11" s="1"/>
  <c r="C16" i="11"/>
  <c r="C16" i="13" s="1"/>
  <c r="C19" i="13" s="1"/>
  <c r="C22" i="13" s="1"/>
  <c r="M17" i="12"/>
  <c r="L9" i="12" l="1"/>
  <c r="O9" i="12"/>
  <c r="H39" i="12"/>
  <c r="B40" i="12" s="1"/>
  <c r="B42" i="12" s="1"/>
  <c r="N9" i="12"/>
  <c r="H16" i="12"/>
  <c r="P13" i="3"/>
  <c r="H22" i="3"/>
  <c r="B36" i="3" s="1"/>
  <c r="N13" i="3"/>
  <c r="O13" i="3"/>
  <c r="B22" i="4"/>
  <c r="B15" i="3"/>
  <c r="I52" i="3" s="1"/>
  <c r="J54" i="3" s="1"/>
  <c r="H16" i="2"/>
  <c r="K9" i="12"/>
  <c r="B16" i="13"/>
  <c r="M8" i="13" s="1"/>
  <c r="P13" i="12"/>
  <c r="M13" i="12"/>
  <c r="M6" i="12"/>
  <c r="O6" i="12"/>
  <c r="K6" i="12" s="1"/>
  <c r="N6" i="12"/>
  <c r="G36" i="12"/>
  <c r="C36" i="12"/>
  <c r="B28" i="12"/>
  <c r="O13" i="12"/>
  <c r="N13" i="12"/>
  <c r="E36" i="12"/>
  <c r="P6" i="12"/>
  <c r="L13" i="12"/>
  <c r="F36" i="12"/>
  <c r="N8" i="2"/>
  <c r="D36" i="12"/>
  <c r="L6" i="12"/>
  <c r="I49" i="12"/>
  <c r="J51" i="12" s="1"/>
  <c r="H29" i="4"/>
  <c r="B30" i="4" s="1"/>
  <c r="B32" i="4" s="1"/>
  <c r="O5" i="2"/>
  <c r="O8" i="2"/>
  <c r="N5" i="2"/>
  <c r="E56" i="12"/>
  <c r="D57" i="12" s="1"/>
  <c r="G18" i="12" s="1"/>
  <c r="G20" i="12" s="1"/>
  <c r="J52" i="12"/>
  <c r="E54" i="12"/>
  <c r="E53" i="12"/>
  <c r="E52" i="12"/>
  <c r="J54" i="12"/>
  <c r="E51" i="12"/>
  <c r="E55" i="12"/>
  <c r="J53" i="12"/>
  <c r="M8" i="2"/>
  <c r="M5" i="2"/>
  <c r="L8" i="2"/>
  <c r="P8" i="2"/>
  <c r="L5" i="2"/>
  <c r="B15" i="2"/>
  <c r="D42" i="2" s="1"/>
  <c r="E48" i="2" s="1"/>
  <c r="H32" i="2"/>
  <c r="B33" i="2" s="1"/>
  <c r="B35" i="2" s="1"/>
  <c r="P5" i="2"/>
  <c r="B19" i="2"/>
  <c r="H19" i="2" s="1"/>
  <c r="L5" i="11"/>
  <c r="C19" i="4"/>
  <c r="C22" i="4" s="1"/>
  <c r="P6" i="3"/>
  <c r="L6" i="3"/>
  <c r="M13" i="3"/>
  <c r="N6" i="3"/>
  <c r="C28" i="3"/>
  <c r="M6" i="3"/>
  <c r="O6" i="3"/>
  <c r="H16" i="4"/>
  <c r="N8" i="4"/>
  <c r="L8" i="4"/>
  <c r="O8" i="4"/>
  <c r="P8" i="4"/>
  <c r="M8" i="4"/>
  <c r="C23" i="3"/>
  <c r="L20" i="3"/>
  <c r="M20" i="3"/>
  <c r="B15" i="4"/>
  <c r="D40" i="4" s="1"/>
  <c r="H16" i="3"/>
  <c r="N9" i="3"/>
  <c r="H39" i="3"/>
  <c r="M9" i="3"/>
  <c r="O9" i="3"/>
  <c r="L9" i="3"/>
  <c r="P9" i="3"/>
  <c r="N5" i="11"/>
  <c r="D19" i="11"/>
  <c r="D23" i="11" s="1"/>
  <c r="P5" i="11"/>
  <c r="H32" i="11"/>
  <c r="B33" i="11" s="1"/>
  <c r="B35" i="11" s="1"/>
  <c r="M8" i="11"/>
  <c r="O8" i="11"/>
  <c r="O5" i="11"/>
  <c r="P8" i="11"/>
  <c r="M5" i="11"/>
  <c r="C19" i="11"/>
  <c r="N8" i="11"/>
  <c r="L8" i="11"/>
  <c r="B15" i="11"/>
  <c r="D42" i="11" s="1"/>
  <c r="E44" i="11" s="1"/>
  <c r="H16" i="11"/>
  <c r="J105" i="12"/>
  <c r="K105" i="12" s="1"/>
  <c r="J92" i="12"/>
  <c r="K92" i="12" s="1"/>
  <c r="J82" i="12"/>
  <c r="J89" i="12"/>
  <c r="J99" i="12"/>
  <c r="K99" i="12" s="1"/>
  <c r="J109" i="12"/>
  <c r="K109" i="12" s="1"/>
  <c r="J114" i="12"/>
  <c r="K114" i="12" s="1"/>
  <c r="J113" i="12"/>
  <c r="K113" i="12" s="1"/>
  <c r="J106" i="12"/>
  <c r="J102" i="12"/>
  <c r="J120" i="12"/>
  <c r="K120" i="12" s="1"/>
  <c r="J83" i="12"/>
  <c r="K83" i="12" s="1"/>
  <c r="J86" i="12"/>
  <c r="K86" i="12" s="1"/>
  <c r="J98" i="12"/>
  <c r="K98" i="12" s="1"/>
  <c r="B43" i="12" s="1"/>
  <c r="J115" i="12"/>
  <c r="J121" i="12"/>
  <c r="J110" i="12"/>
  <c r="K110" i="12" s="1"/>
  <c r="J88" i="12"/>
  <c r="K88" i="12" s="1"/>
  <c r="J118" i="12"/>
  <c r="K118" i="12" s="1"/>
  <c r="J84" i="12"/>
  <c r="K84" i="12" s="1"/>
  <c r="J116" i="12"/>
  <c r="J93" i="12"/>
  <c r="J96" i="12"/>
  <c r="K96" i="12" s="1"/>
  <c r="J90" i="12"/>
  <c r="K90" i="12" s="1"/>
  <c r="J107" i="12"/>
  <c r="K107" i="12" s="1"/>
  <c r="J85" i="12"/>
  <c r="K85" i="12" s="1"/>
  <c r="J95" i="12"/>
  <c r="J101" i="12"/>
  <c r="J97" i="12"/>
  <c r="K97" i="12" s="1"/>
  <c r="J117" i="12"/>
  <c r="K117" i="12" s="1"/>
  <c r="J119" i="12"/>
  <c r="K119" i="12" s="1"/>
  <c r="J87" i="12"/>
  <c r="K87" i="12" s="1"/>
  <c r="J104" i="12"/>
  <c r="J112" i="12"/>
  <c r="J111" i="12"/>
  <c r="K111" i="12" s="1"/>
  <c r="J100" i="12"/>
  <c r="K100" i="12" s="1"/>
  <c r="J94" i="12"/>
  <c r="K94" i="12" s="1"/>
  <c r="J108" i="12"/>
  <c r="K108" i="12" s="1"/>
  <c r="J91" i="12"/>
  <c r="J103" i="12"/>
  <c r="K103" i="12" l="1"/>
  <c r="K112" i="12"/>
  <c r="K101" i="12"/>
  <c r="K93" i="12"/>
  <c r="K121" i="12"/>
  <c r="K102" i="12"/>
  <c r="K89" i="12"/>
  <c r="K91" i="12"/>
  <c r="K104" i="12"/>
  <c r="K95" i="12"/>
  <c r="K116" i="12"/>
  <c r="K115" i="12"/>
  <c r="K106" i="12"/>
  <c r="K82" i="12"/>
  <c r="B40" i="3"/>
  <c r="B42" i="3" s="1"/>
  <c r="C29" i="2"/>
  <c r="B29" i="2"/>
  <c r="O12" i="2"/>
  <c r="L12" i="2"/>
  <c r="H19" i="4"/>
  <c r="B26" i="4" s="1"/>
  <c r="K8" i="4"/>
  <c r="O8" i="13"/>
  <c r="K13" i="12"/>
  <c r="H16" i="13"/>
  <c r="K6" i="3"/>
  <c r="K8" i="2"/>
  <c r="K5" i="2"/>
  <c r="K9" i="3"/>
  <c r="K13" i="3"/>
  <c r="H29" i="13"/>
  <c r="B30" i="13" s="1"/>
  <c r="B32" i="13" s="1"/>
  <c r="I53" i="12"/>
  <c r="C19" i="12" s="1"/>
  <c r="C21" i="12" s="1"/>
  <c r="C27" i="12" s="1"/>
  <c r="B15" i="13"/>
  <c r="D40" i="13" s="1"/>
  <c r="D56" i="12"/>
  <c r="F18" i="12" s="1"/>
  <c r="F20" i="12" s="1"/>
  <c r="F24" i="12" s="1"/>
  <c r="P8" i="13"/>
  <c r="K8" i="13" s="1"/>
  <c r="B19" i="13"/>
  <c r="L5" i="13" s="1"/>
  <c r="L8" i="13"/>
  <c r="N8" i="13"/>
  <c r="D55" i="12"/>
  <c r="E18" i="12" s="1"/>
  <c r="E20" i="12" s="1"/>
  <c r="E29" i="12" s="1"/>
  <c r="I52" i="12"/>
  <c r="B19" i="12" s="1"/>
  <c r="B21" i="12" s="1"/>
  <c r="B25" i="12" s="1"/>
  <c r="D52" i="12"/>
  <c r="B18" i="12" s="1"/>
  <c r="B20" i="12" s="1"/>
  <c r="B29" i="12" s="1"/>
  <c r="D54" i="12"/>
  <c r="D18" i="12" s="1"/>
  <c r="D20" i="12" s="1"/>
  <c r="D26" i="12" s="1"/>
  <c r="D30" i="12" s="1"/>
  <c r="D53" i="12"/>
  <c r="C18" i="12" s="1"/>
  <c r="C20" i="12" s="1"/>
  <c r="C29" i="12" s="1"/>
  <c r="I54" i="12"/>
  <c r="D19" i="12" s="1"/>
  <c r="D21" i="12" s="1"/>
  <c r="D27" i="12" s="1"/>
  <c r="E47" i="2"/>
  <c r="D48" i="2" s="1"/>
  <c r="E17" i="2" s="1"/>
  <c r="E18" i="2" s="1"/>
  <c r="E50" i="2"/>
  <c r="E46" i="2"/>
  <c r="E44" i="2"/>
  <c r="E49" i="2"/>
  <c r="D49" i="2" s="1"/>
  <c r="F17" i="2" s="1"/>
  <c r="F18" i="2" s="1"/>
  <c r="F24" i="2" s="1"/>
  <c r="E45" i="2"/>
  <c r="B23" i="2"/>
  <c r="M12" i="2"/>
  <c r="P12" i="2"/>
  <c r="N12" i="2"/>
  <c r="D57" i="9"/>
  <c r="K8" i="11"/>
  <c r="E45" i="11"/>
  <c r="D45" i="11" s="1"/>
  <c r="B17" i="11" s="1"/>
  <c r="K5" i="11"/>
  <c r="D52" i="3"/>
  <c r="L5" i="4"/>
  <c r="P12" i="4"/>
  <c r="M12" i="4"/>
  <c r="O12" i="4"/>
  <c r="M5" i="4"/>
  <c r="N5" i="4"/>
  <c r="L12" i="4"/>
  <c r="O5" i="4"/>
  <c r="P5" i="4"/>
  <c r="N12" i="4"/>
  <c r="F36" i="3"/>
  <c r="E36" i="3"/>
  <c r="D36" i="3"/>
  <c r="C36" i="3"/>
  <c r="G36" i="3"/>
  <c r="L17" i="3"/>
  <c r="M17" i="3"/>
  <c r="E50" i="11"/>
  <c r="E49" i="11"/>
  <c r="E47" i="11"/>
  <c r="C23" i="11"/>
  <c r="N12" i="11"/>
  <c r="O12" i="11"/>
  <c r="H19" i="11"/>
  <c r="L12" i="11"/>
  <c r="P12" i="11"/>
  <c r="M12" i="11"/>
  <c r="E46" i="11"/>
  <c r="E48" i="11"/>
  <c r="G24" i="12"/>
  <c r="G26" i="12"/>
  <c r="G30" i="12" s="1"/>
  <c r="G29" i="12"/>
  <c r="E29" i="11" l="1"/>
  <c r="F29" i="11"/>
  <c r="G29" i="11"/>
  <c r="F29" i="12"/>
  <c r="O5" i="13"/>
  <c r="K12" i="4"/>
  <c r="C25" i="12"/>
  <c r="K12" i="2"/>
  <c r="C48" i="4"/>
  <c r="B49" i="4" s="1"/>
  <c r="C47" i="4"/>
  <c r="B48" i="4" s="1"/>
  <c r="F26" i="12"/>
  <c r="F30" i="12" s="1"/>
  <c r="P12" i="13"/>
  <c r="H19" i="13"/>
  <c r="E26" i="13" s="1"/>
  <c r="N12" i="13"/>
  <c r="B27" i="12"/>
  <c r="M23" i="12" s="1"/>
  <c r="N5" i="13"/>
  <c r="L12" i="13"/>
  <c r="M12" i="13"/>
  <c r="P5" i="13"/>
  <c r="B22" i="13"/>
  <c r="M5" i="13"/>
  <c r="O12" i="13"/>
  <c r="K12" i="13" s="1"/>
  <c r="L18" i="12"/>
  <c r="E24" i="12"/>
  <c r="E26" i="12"/>
  <c r="E30" i="12" s="1"/>
  <c r="L22" i="12"/>
  <c r="M22" i="12"/>
  <c r="M18" i="12"/>
  <c r="L21" i="12"/>
  <c r="F32" i="12"/>
  <c r="L11" i="12"/>
  <c r="L14" i="12" s="1"/>
  <c r="M21" i="12"/>
  <c r="L19" i="12"/>
  <c r="D29" i="12"/>
  <c r="C32" i="12"/>
  <c r="D24" i="12"/>
  <c r="M10" i="12"/>
  <c r="O8" i="12"/>
  <c r="G32" i="12"/>
  <c r="B32" i="12"/>
  <c r="N11" i="12"/>
  <c r="N14" i="12" s="1"/>
  <c r="C26" i="12"/>
  <c r="C30" i="12" s="1"/>
  <c r="N7" i="12"/>
  <c r="B26" i="12"/>
  <c r="O11" i="12"/>
  <c r="O14" i="12" s="1"/>
  <c r="D25" i="12"/>
  <c r="N8" i="12"/>
  <c r="M7" i="12"/>
  <c r="P8" i="12"/>
  <c r="P10" i="12"/>
  <c r="M11" i="12"/>
  <c r="M14" i="12" s="1"/>
  <c r="E32" i="12"/>
  <c r="D32" i="12"/>
  <c r="O10" i="12"/>
  <c r="P7" i="12"/>
  <c r="B24" i="12"/>
  <c r="P11" i="12"/>
  <c r="P14" i="12" s="1"/>
  <c r="O7" i="12"/>
  <c r="L7" i="12"/>
  <c r="L10" i="12"/>
  <c r="L8" i="12"/>
  <c r="M8" i="12"/>
  <c r="N10" i="12"/>
  <c r="C24" i="12"/>
  <c r="M19" i="12"/>
  <c r="D50" i="11"/>
  <c r="G17" i="11" s="1"/>
  <c r="G18" i="11" s="1"/>
  <c r="G21" i="11" s="1"/>
  <c r="G25" i="11" s="1"/>
  <c r="E20" i="2"/>
  <c r="E24" i="2"/>
  <c r="E21" i="2"/>
  <c r="E25" i="2" s="1"/>
  <c r="E26" i="4"/>
  <c r="C26" i="4"/>
  <c r="D45" i="2"/>
  <c r="B17" i="2" s="1"/>
  <c r="F26" i="4"/>
  <c r="C40" i="4"/>
  <c r="E45" i="4" s="1"/>
  <c r="F21" i="2"/>
  <c r="F25" i="2" s="1"/>
  <c r="D26" i="4"/>
  <c r="B28" i="4"/>
  <c r="J83" i="4" s="1"/>
  <c r="K83" i="4" s="1"/>
  <c r="C46" i="4"/>
  <c r="B47" i="4" s="1"/>
  <c r="E46" i="4" s="1"/>
  <c r="G26" i="4"/>
  <c r="F20" i="2"/>
  <c r="D47" i="2"/>
  <c r="D17" i="2" s="1"/>
  <c r="D18" i="2" s="1"/>
  <c r="D46" i="2"/>
  <c r="C17" i="2" s="1"/>
  <c r="D50" i="2"/>
  <c r="G17" i="2" s="1"/>
  <c r="G18" i="2" s="1"/>
  <c r="B31" i="2"/>
  <c r="D29" i="2"/>
  <c r="G29" i="2"/>
  <c r="E29" i="2"/>
  <c r="F29" i="2"/>
  <c r="C46" i="13"/>
  <c r="B47" i="13" s="1"/>
  <c r="K5" i="4"/>
  <c r="K55" i="1" s="1"/>
  <c r="L55" i="1" s="1"/>
  <c r="E49" i="1" s="1"/>
  <c r="C70" i="1" s="1"/>
  <c r="B70" i="1" s="1"/>
  <c r="D46" i="11"/>
  <c r="C17" i="11" s="1"/>
  <c r="L9" i="11" s="1"/>
  <c r="K12" i="11"/>
  <c r="D49" i="11"/>
  <c r="F17" i="11" s="1"/>
  <c r="F18" i="11" s="1"/>
  <c r="F20" i="11" s="1"/>
  <c r="E57" i="3"/>
  <c r="E55" i="3"/>
  <c r="E56" i="3"/>
  <c r="E60" i="3"/>
  <c r="J56" i="3"/>
  <c r="J57" i="3"/>
  <c r="J55" i="3"/>
  <c r="I55" i="3" s="1"/>
  <c r="B19" i="3" s="1"/>
  <c r="E58" i="3"/>
  <c r="E54" i="3"/>
  <c r="E59" i="3"/>
  <c r="D47" i="11"/>
  <c r="D17" i="11" s="1"/>
  <c r="D18" i="11" s="1"/>
  <c r="D20" i="11" s="1"/>
  <c r="D48" i="11"/>
  <c r="E17" i="11" s="1"/>
  <c r="E18" i="11" s="1"/>
  <c r="B18" i="11"/>
  <c r="B27" i="11"/>
  <c r="D29" i="11"/>
  <c r="C29" i="11"/>
  <c r="B29" i="11"/>
  <c r="B31" i="11" s="1"/>
  <c r="C26" i="13" l="1"/>
  <c r="F26" i="13"/>
  <c r="O7" i="2"/>
  <c r="K5" i="13"/>
  <c r="K55" i="9" s="1"/>
  <c r="L55" i="9" s="1"/>
  <c r="E49" i="9" s="1"/>
  <c r="C70" i="9" s="1"/>
  <c r="B70" i="9" s="1"/>
  <c r="J78" i="4"/>
  <c r="K78" i="4" s="1"/>
  <c r="J80" i="4"/>
  <c r="K80" i="4" s="1"/>
  <c r="E48" i="4"/>
  <c r="J65" i="4"/>
  <c r="K65" i="4" s="1"/>
  <c r="J77" i="4"/>
  <c r="K77" i="4" s="1"/>
  <c r="J57" i="4"/>
  <c r="K57" i="4" s="1"/>
  <c r="J55" i="4"/>
  <c r="K55" i="4" s="1"/>
  <c r="J71" i="4"/>
  <c r="K71" i="4" s="1"/>
  <c r="P7" i="2"/>
  <c r="C47" i="13"/>
  <c r="B48" i="13" s="1"/>
  <c r="B26" i="13"/>
  <c r="B28" i="13" s="1"/>
  <c r="J69" i="13" s="1"/>
  <c r="K69" i="13" s="1"/>
  <c r="C40" i="13"/>
  <c r="E45" i="13" s="1"/>
  <c r="D26" i="13"/>
  <c r="C48" i="13"/>
  <c r="B49" i="13" s="1"/>
  <c r="E48" i="13" s="1"/>
  <c r="D48" i="13" s="1"/>
  <c r="G17" i="13" s="1"/>
  <c r="G18" i="13" s="1"/>
  <c r="G26" i="13"/>
  <c r="L23" i="12"/>
  <c r="K10" i="12"/>
  <c r="L6" i="11"/>
  <c r="L7" i="11"/>
  <c r="K8" i="12"/>
  <c r="P7" i="11"/>
  <c r="O7" i="11"/>
  <c r="M12" i="12"/>
  <c r="M15" i="12" s="1"/>
  <c r="K7" i="12"/>
  <c r="N12" i="12"/>
  <c r="N15" i="12" s="1"/>
  <c r="J72" i="4"/>
  <c r="K72" i="4" s="1"/>
  <c r="J85" i="4"/>
  <c r="K85" i="4" s="1"/>
  <c r="P12" i="12"/>
  <c r="P15" i="12" s="1"/>
  <c r="B30" i="12"/>
  <c r="L12" i="12"/>
  <c r="L15" i="12" s="1"/>
  <c r="K11" i="12"/>
  <c r="O12" i="12"/>
  <c r="O15" i="12" s="1"/>
  <c r="J82" i="4"/>
  <c r="K82" i="4" s="1"/>
  <c r="J69" i="4"/>
  <c r="K69" i="4" s="1"/>
  <c r="J61" i="4"/>
  <c r="K61" i="4" s="1"/>
  <c r="J92" i="4"/>
  <c r="K92" i="4" s="1"/>
  <c r="K14" i="12"/>
  <c r="J91" i="4"/>
  <c r="K91" i="4" s="1"/>
  <c r="J87" i="4"/>
  <c r="K87" i="4" s="1"/>
  <c r="J58" i="4"/>
  <c r="K58" i="4" s="1"/>
  <c r="G20" i="11"/>
  <c r="J66" i="4"/>
  <c r="K66" i="4" s="1"/>
  <c r="J93" i="4"/>
  <c r="K93" i="4" s="1"/>
  <c r="J90" i="4"/>
  <c r="K90" i="4" s="1"/>
  <c r="J81" i="4"/>
  <c r="K81" i="4" s="1"/>
  <c r="G24" i="11"/>
  <c r="J56" i="4"/>
  <c r="K56" i="4" s="1"/>
  <c r="J89" i="4"/>
  <c r="K89" i="4" s="1"/>
  <c r="J70" i="4"/>
  <c r="K70" i="4" s="1"/>
  <c r="J86" i="4"/>
  <c r="K86" i="4" s="1"/>
  <c r="J74" i="4"/>
  <c r="K74" i="4" s="1"/>
  <c r="J88" i="4"/>
  <c r="K88" i="4" s="1"/>
  <c r="J68" i="4"/>
  <c r="K68" i="4" s="1"/>
  <c r="J73" i="4"/>
  <c r="K73" i="4" s="1"/>
  <c r="J67" i="4"/>
  <c r="K67" i="4" s="1"/>
  <c r="J63" i="4"/>
  <c r="K63" i="4" s="1"/>
  <c r="J79" i="4"/>
  <c r="K79" i="4" s="1"/>
  <c r="J94" i="4"/>
  <c r="K94" i="4" s="1"/>
  <c r="J76" i="4"/>
  <c r="K76" i="4" s="1"/>
  <c r="J60" i="4"/>
  <c r="K60" i="4" s="1"/>
  <c r="J75" i="4"/>
  <c r="K75" i="4" s="1"/>
  <c r="J64" i="4"/>
  <c r="K64" i="4" s="1"/>
  <c r="J84" i="4"/>
  <c r="K84" i="4" s="1"/>
  <c r="J62" i="4"/>
  <c r="K62" i="4" s="1"/>
  <c r="J59" i="4"/>
  <c r="K59" i="4" s="1"/>
  <c r="E43" i="4"/>
  <c r="E47" i="4"/>
  <c r="D47" i="4" s="1"/>
  <c r="F17" i="4" s="1"/>
  <c r="F18" i="4" s="1"/>
  <c r="F23" i="4" s="1"/>
  <c r="E42" i="4"/>
  <c r="E44" i="4"/>
  <c r="D45" i="4" s="1"/>
  <c r="D17" i="4" s="1"/>
  <c r="D18" i="4" s="1"/>
  <c r="D23" i="4" s="1"/>
  <c r="B27" i="2"/>
  <c r="B18" i="2"/>
  <c r="G21" i="2"/>
  <c r="G25" i="2" s="1"/>
  <c r="G20" i="2"/>
  <c r="G24" i="2"/>
  <c r="C18" i="2"/>
  <c r="N9" i="2"/>
  <c r="N7" i="2"/>
  <c r="K7" i="2" s="1"/>
  <c r="G27" i="2"/>
  <c r="P9" i="2"/>
  <c r="M9" i="2"/>
  <c r="F27" i="2"/>
  <c r="L7" i="2"/>
  <c r="O6" i="2"/>
  <c r="M6" i="2"/>
  <c r="N6" i="2"/>
  <c r="L6" i="2"/>
  <c r="C27" i="2"/>
  <c r="E27" i="2"/>
  <c r="O9" i="2"/>
  <c r="L9" i="2"/>
  <c r="P6" i="2"/>
  <c r="M7" i="2"/>
  <c r="D27" i="2"/>
  <c r="D20" i="2"/>
  <c r="D24" i="2"/>
  <c r="D21" i="2"/>
  <c r="D25" i="2" s="1"/>
  <c r="J92" i="2"/>
  <c r="K92" i="2" s="1"/>
  <c r="J70" i="2"/>
  <c r="K70" i="2" s="1"/>
  <c r="J72" i="2"/>
  <c r="K72" i="2" s="1"/>
  <c r="J57" i="2"/>
  <c r="K57" i="2" s="1"/>
  <c r="J65" i="2"/>
  <c r="K65" i="2" s="1"/>
  <c r="J62" i="2"/>
  <c r="K62" i="2" s="1"/>
  <c r="J59" i="2"/>
  <c r="K59" i="2" s="1"/>
  <c r="J58" i="2"/>
  <c r="K58" i="2" s="1"/>
  <c r="J77" i="2"/>
  <c r="K77" i="2" s="1"/>
  <c r="J74" i="2"/>
  <c r="K74" i="2" s="1"/>
  <c r="J61" i="2"/>
  <c r="K61" i="2" s="1"/>
  <c r="J83" i="2"/>
  <c r="K83" i="2" s="1"/>
  <c r="J87" i="2"/>
  <c r="K87" i="2" s="1"/>
  <c r="J73" i="2"/>
  <c r="K73" i="2" s="1"/>
  <c r="J95" i="2"/>
  <c r="K95" i="2" s="1"/>
  <c r="J89" i="2"/>
  <c r="K89" i="2" s="1"/>
  <c r="J63" i="2"/>
  <c r="K63" i="2" s="1"/>
  <c r="J67" i="2"/>
  <c r="K67" i="2" s="1"/>
  <c r="J69" i="2"/>
  <c r="K69" i="2" s="1"/>
  <c r="J91" i="2"/>
  <c r="K91" i="2" s="1"/>
  <c r="J68" i="2"/>
  <c r="K68" i="2" s="1"/>
  <c r="J64" i="2"/>
  <c r="K64" i="2" s="1"/>
  <c r="J71" i="2"/>
  <c r="K71" i="2" s="1"/>
  <c r="J78" i="2"/>
  <c r="K78" i="2" s="1"/>
  <c r="J81" i="2"/>
  <c r="K81" i="2" s="1"/>
  <c r="J85" i="2"/>
  <c r="K85" i="2" s="1"/>
  <c r="J76" i="2"/>
  <c r="K76" i="2" s="1"/>
  <c r="J94" i="2"/>
  <c r="K94" i="2" s="1"/>
  <c r="J79" i="2"/>
  <c r="K79" i="2" s="1"/>
  <c r="J75" i="2"/>
  <c r="K75" i="2" s="1"/>
  <c r="J88" i="2"/>
  <c r="K88" i="2" s="1"/>
  <c r="J66" i="2"/>
  <c r="K66" i="2" s="1"/>
  <c r="J60" i="2"/>
  <c r="K60" i="2" s="1"/>
  <c r="J86" i="2"/>
  <c r="K86" i="2" s="1"/>
  <c r="J80" i="2"/>
  <c r="K80" i="2" s="1"/>
  <c r="J84" i="2"/>
  <c r="K84" i="2" s="1"/>
  <c r="J90" i="2"/>
  <c r="K90" i="2" s="1"/>
  <c r="J96" i="2"/>
  <c r="K96" i="2" s="1"/>
  <c r="J93" i="2"/>
  <c r="K93" i="2" s="1"/>
  <c r="J82" i="2"/>
  <c r="K82" i="2" s="1"/>
  <c r="C27" i="11"/>
  <c r="C18" i="11"/>
  <c r="M10" i="11" s="1"/>
  <c r="F21" i="11"/>
  <c r="F25" i="11" s="1"/>
  <c r="D46" i="4"/>
  <c r="E17" i="4" s="1"/>
  <c r="E18" i="4" s="1"/>
  <c r="E20" i="4" s="1"/>
  <c r="F24" i="11"/>
  <c r="D24" i="11"/>
  <c r="M6" i="11"/>
  <c r="D21" i="11"/>
  <c r="D25" i="11" s="1"/>
  <c r="M9" i="11"/>
  <c r="D27" i="11"/>
  <c r="M7" i="11"/>
  <c r="D58" i="3"/>
  <c r="E18" i="3" s="1"/>
  <c r="E20" i="3" s="1"/>
  <c r="E29" i="3" s="1"/>
  <c r="I56" i="3"/>
  <c r="C19" i="3" s="1"/>
  <c r="C21" i="3" s="1"/>
  <c r="C27" i="3" s="1"/>
  <c r="B21" i="3"/>
  <c r="D59" i="3"/>
  <c r="F18" i="3" s="1"/>
  <c r="F20" i="3" s="1"/>
  <c r="D60" i="3"/>
  <c r="G18" i="3" s="1"/>
  <c r="G20" i="3" s="1"/>
  <c r="D57" i="3"/>
  <c r="D18" i="3" s="1"/>
  <c r="D20" i="3" s="1"/>
  <c r="D55" i="3"/>
  <c r="B18" i="3" s="1"/>
  <c r="I57" i="3"/>
  <c r="D19" i="3" s="1"/>
  <c r="D21" i="3" s="1"/>
  <c r="D56" i="3"/>
  <c r="C18" i="3" s="1"/>
  <c r="C20" i="3" s="1"/>
  <c r="E27" i="11"/>
  <c r="N7" i="11"/>
  <c r="P6" i="11"/>
  <c r="P9" i="11"/>
  <c r="N9" i="11"/>
  <c r="F27" i="11"/>
  <c r="O9" i="11"/>
  <c r="O6" i="11"/>
  <c r="G27" i="11"/>
  <c r="J70" i="11"/>
  <c r="K70" i="11" s="1"/>
  <c r="J63" i="11"/>
  <c r="K63" i="11" s="1"/>
  <c r="J77" i="11"/>
  <c r="K77" i="11" s="1"/>
  <c r="J86" i="11"/>
  <c r="K86" i="11" s="1"/>
  <c r="J57" i="11"/>
  <c r="K57" i="11" s="1"/>
  <c r="J59" i="11"/>
  <c r="K59" i="11" s="1"/>
  <c r="J64" i="11"/>
  <c r="K64" i="11" s="1"/>
  <c r="J80" i="11"/>
  <c r="K80" i="11" s="1"/>
  <c r="J94" i="11"/>
  <c r="K94" i="11" s="1"/>
  <c r="J61" i="11"/>
  <c r="K61" i="11" s="1"/>
  <c r="J66" i="11"/>
  <c r="K66" i="11" s="1"/>
  <c r="J69" i="11"/>
  <c r="K69" i="11" s="1"/>
  <c r="J92" i="11"/>
  <c r="K92" i="11" s="1"/>
  <c r="J72" i="11"/>
  <c r="K72" i="11" s="1"/>
  <c r="J93" i="11"/>
  <c r="K93" i="11" s="1"/>
  <c r="J87" i="11"/>
  <c r="K87" i="11" s="1"/>
  <c r="J58" i="11"/>
  <c r="K58" i="11" s="1"/>
  <c r="J76" i="11"/>
  <c r="K76" i="11" s="1"/>
  <c r="J62" i="11"/>
  <c r="K62" i="11" s="1"/>
  <c r="J65" i="11"/>
  <c r="K65" i="11" s="1"/>
  <c r="J60" i="11"/>
  <c r="K60" i="11" s="1"/>
  <c r="J78" i="11"/>
  <c r="K78" i="11" s="1"/>
  <c r="J79" i="11"/>
  <c r="K79" i="11" s="1"/>
  <c r="J85" i="11"/>
  <c r="K85" i="11" s="1"/>
  <c r="J96" i="11"/>
  <c r="K96" i="11" s="1"/>
  <c r="J82" i="11"/>
  <c r="K82" i="11" s="1"/>
  <c r="J67" i="11"/>
  <c r="K67" i="11" s="1"/>
  <c r="J73" i="11"/>
  <c r="K73" i="11" s="1"/>
  <c r="J88" i="11"/>
  <c r="K88" i="11" s="1"/>
  <c r="J68" i="11"/>
  <c r="K68" i="11" s="1"/>
  <c r="J75" i="11"/>
  <c r="K75" i="11" s="1"/>
  <c r="J90" i="11"/>
  <c r="K90" i="11" s="1"/>
  <c r="J84" i="11"/>
  <c r="K84" i="11" s="1"/>
  <c r="J95" i="11"/>
  <c r="K95" i="11" s="1"/>
  <c r="J89" i="11"/>
  <c r="K89" i="11" s="1"/>
  <c r="J74" i="11"/>
  <c r="K74" i="11" s="1"/>
  <c r="J83" i="11"/>
  <c r="K83" i="11" s="1"/>
  <c r="J81" i="11"/>
  <c r="K81" i="11" s="1"/>
  <c r="J71" i="11"/>
  <c r="K71" i="11" s="1"/>
  <c r="J91" i="11"/>
  <c r="K91" i="11" s="1"/>
  <c r="B20" i="11"/>
  <c r="B21" i="11"/>
  <c r="B25" i="11" s="1"/>
  <c r="B24" i="11"/>
  <c r="N6" i="11"/>
  <c r="E20" i="11"/>
  <c r="E24" i="11"/>
  <c r="E21" i="11"/>
  <c r="E25" i="11" s="1"/>
  <c r="J60" i="13" l="1"/>
  <c r="K60" i="13" s="1"/>
  <c r="E44" i="13"/>
  <c r="E42" i="13"/>
  <c r="E46" i="13"/>
  <c r="D46" i="13" s="1"/>
  <c r="E17" i="13" s="1"/>
  <c r="E18" i="13" s="1"/>
  <c r="E23" i="13" s="1"/>
  <c r="E43" i="13"/>
  <c r="D44" i="13" s="1"/>
  <c r="C17" i="13" s="1"/>
  <c r="C18" i="13" s="1"/>
  <c r="E33" i="4"/>
  <c r="J55" i="13"/>
  <c r="K55" i="13" s="1"/>
  <c r="J59" i="13"/>
  <c r="K59" i="13" s="1"/>
  <c r="J93" i="13"/>
  <c r="K93" i="13" s="1"/>
  <c r="J68" i="13"/>
  <c r="K68" i="13" s="1"/>
  <c r="J76" i="13"/>
  <c r="K76" i="13" s="1"/>
  <c r="J61" i="13"/>
  <c r="K61" i="13" s="1"/>
  <c r="J71" i="13"/>
  <c r="K71" i="13" s="1"/>
  <c r="J94" i="13"/>
  <c r="K94" i="13" s="1"/>
  <c r="J74" i="13"/>
  <c r="K74" i="13" s="1"/>
  <c r="C33" i="4"/>
  <c r="G33" i="4"/>
  <c r="D33" i="4"/>
  <c r="J81" i="13"/>
  <c r="K81" i="13" s="1"/>
  <c r="J66" i="13"/>
  <c r="K66" i="13" s="1"/>
  <c r="J67" i="13"/>
  <c r="K67" i="13" s="1"/>
  <c r="J83" i="13"/>
  <c r="K83" i="13" s="1"/>
  <c r="J92" i="13"/>
  <c r="K92" i="13" s="1"/>
  <c r="J56" i="13"/>
  <c r="K56" i="13" s="1"/>
  <c r="J87" i="13"/>
  <c r="K87" i="13" s="1"/>
  <c r="J88" i="13"/>
  <c r="K88" i="13" s="1"/>
  <c r="J64" i="13"/>
  <c r="K64" i="13" s="1"/>
  <c r="J85" i="13"/>
  <c r="K85" i="13" s="1"/>
  <c r="J70" i="13"/>
  <c r="K70" i="13" s="1"/>
  <c r="J77" i="13"/>
  <c r="K77" i="13" s="1"/>
  <c r="J91" i="13"/>
  <c r="K91" i="13" s="1"/>
  <c r="J78" i="13"/>
  <c r="K78" i="13" s="1"/>
  <c r="J65" i="13"/>
  <c r="K65" i="13" s="1"/>
  <c r="J82" i="13"/>
  <c r="K82" i="13" s="1"/>
  <c r="J90" i="13"/>
  <c r="K90" i="13" s="1"/>
  <c r="J75" i="13"/>
  <c r="K75" i="13" s="1"/>
  <c r="J63" i="13"/>
  <c r="K63" i="13" s="1"/>
  <c r="J62" i="13"/>
  <c r="K62" i="13" s="1"/>
  <c r="J84" i="13"/>
  <c r="K84" i="13" s="1"/>
  <c r="J72" i="13"/>
  <c r="K72" i="13" s="1"/>
  <c r="J89" i="13"/>
  <c r="K89" i="13" s="1"/>
  <c r="J57" i="13"/>
  <c r="K57" i="13" s="1"/>
  <c r="J79" i="13"/>
  <c r="K79" i="13" s="1"/>
  <c r="J58" i="13"/>
  <c r="K58" i="13" s="1"/>
  <c r="J73" i="13"/>
  <c r="K73" i="13" s="1"/>
  <c r="J80" i="13"/>
  <c r="K80" i="13" s="1"/>
  <c r="J86" i="13"/>
  <c r="K86" i="13" s="1"/>
  <c r="E47" i="13"/>
  <c r="D47" i="13" s="1"/>
  <c r="F17" i="13" s="1"/>
  <c r="F18" i="13" s="1"/>
  <c r="F23" i="13" s="1"/>
  <c r="B33" i="4"/>
  <c r="F33" i="4"/>
  <c r="K6" i="2"/>
  <c r="D48" i="4"/>
  <c r="G17" i="4" s="1"/>
  <c r="G18" i="4" s="1"/>
  <c r="K9" i="2"/>
  <c r="K15" i="12"/>
  <c r="L10" i="11"/>
  <c r="K12" i="12"/>
  <c r="C21" i="11"/>
  <c r="C25" i="11" s="1"/>
  <c r="D43" i="4"/>
  <c r="B17" i="4" s="1"/>
  <c r="B18" i="4" s="1"/>
  <c r="D44" i="4"/>
  <c r="C17" i="4" s="1"/>
  <c r="C18" i="4" s="1"/>
  <c r="C20" i="4" s="1"/>
  <c r="B20" i="2"/>
  <c r="B24" i="2"/>
  <c r="B21" i="2"/>
  <c r="B25" i="2" s="1"/>
  <c r="C21" i="2"/>
  <c r="C20" i="2"/>
  <c r="C24" i="2"/>
  <c r="P10" i="2"/>
  <c r="P13" i="2" s="1"/>
  <c r="O10" i="2"/>
  <c r="O13" i="2" s="1"/>
  <c r="L10" i="2"/>
  <c r="L13" i="2" s="1"/>
  <c r="M10" i="2"/>
  <c r="M13" i="2" s="1"/>
  <c r="N10" i="2"/>
  <c r="G36" i="2"/>
  <c r="D36" i="2"/>
  <c r="B36" i="2"/>
  <c r="E36" i="2"/>
  <c r="F36" i="2"/>
  <c r="C36" i="2"/>
  <c r="C24" i="11"/>
  <c r="P10" i="11"/>
  <c r="P13" i="11" s="1"/>
  <c r="N10" i="11"/>
  <c r="C20" i="11"/>
  <c r="O10" i="11"/>
  <c r="O13" i="11" s="1"/>
  <c r="K7" i="11"/>
  <c r="F21" i="4"/>
  <c r="F24" i="4" s="1"/>
  <c r="D20" i="4"/>
  <c r="F20" i="4"/>
  <c r="E23" i="4"/>
  <c r="E21" i="4"/>
  <c r="E24" i="4" s="1"/>
  <c r="C25" i="3"/>
  <c r="E26" i="3"/>
  <c r="E30" i="3" s="1"/>
  <c r="D21" i="4"/>
  <c r="D24" i="4" s="1"/>
  <c r="E24" i="3"/>
  <c r="L19" i="3"/>
  <c r="L18" i="3"/>
  <c r="M18" i="3"/>
  <c r="L21" i="3"/>
  <c r="M19" i="3"/>
  <c r="M21" i="3"/>
  <c r="D29" i="3"/>
  <c r="D24" i="3"/>
  <c r="D26" i="3"/>
  <c r="D30" i="3" s="1"/>
  <c r="D25" i="3"/>
  <c r="D27" i="3"/>
  <c r="G29" i="3"/>
  <c r="G24" i="3"/>
  <c r="G26" i="3"/>
  <c r="G30" i="3" s="1"/>
  <c r="B25" i="3"/>
  <c r="B27" i="3"/>
  <c r="L22" i="3"/>
  <c r="M22" i="3"/>
  <c r="C24" i="3"/>
  <c r="C29" i="3"/>
  <c r="C26" i="3"/>
  <c r="C30" i="3" s="1"/>
  <c r="L7" i="3"/>
  <c r="L8" i="3"/>
  <c r="N10" i="3"/>
  <c r="M10" i="3"/>
  <c r="L10" i="3"/>
  <c r="P10" i="3"/>
  <c r="O8" i="3"/>
  <c r="C32" i="3"/>
  <c r="M8" i="3"/>
  <c r="D32" i="3"/>
  <c r="E32" i="3"/>
  <c r="P8" i="3"/>
  <c r="B20" i="3"/>
  <c r="F32" i="3"/>
  <c r="O10" i="3"/>
  <c r="N8" i="3"/>
  <c r="N7" i="3"/>
  <c r="B32" i="3"/>
  <c r="P7" i="3"/>
  <c r="M7" i="3"/>
  <c r="G32" i="3"/>
  <c r="O7" i="3"/>
  <c r="F24" i="3"/>
  <c r="F26" i="3"/>
  <c r="F30" i="3" s="1"/>
  <c r="F29" i="3"/>
  <c r="K9" i="11"/>
  <c r="K6" i="11"/>
  <c r="E36" i="11"/>
  <c r="F36" i="11"/>
  <c r="D36" i="11"/>
  <c r="G36" i="11"/>
  <c r="B36" i="11"/>
  <c r="C36" i="11"/>
  <c r="D45" i="13"/>
  <c r="D17" i="13" s="1"/>
  <c r="D18" i="13" s="1"/>
  <c r="D20" i="13" s="1"/>
  <c r="G20" i="13"/>
  <c r="G21" i="13"/>
  <c r="G24" i="13" s="1"/>
  <c r="G23" i="13"/>
  <c r="M13" i="11"/>
  <c r="L13" i="11"/>
  <c r="D43" i="13" l="1"/>
  <c r="B17" i="13" s="1"/>
  <c r="B18" i="13" s="1"/>
  <c r="B44" i="3"/>
  <c r="B34" i="4"/>
  <c r="B25" i="4" s="1"/>
  <c r="F33" i="13"/>
  <c r="F25" i="13" s="1"/>
  <c r="O15" i="13" s="1"/>
  <c r="B34" i="13"/>
  <c r="B28" i="11"/>
  <c r="B33" i="12" s="1"/>
  <c r="D44" i="12"/>
  <c r="B44" i="12"/>
  <c r="C44" i="12"/>
  <c r="E44" i="12"/>
  <c r="F44" i="12"/>
  <c r="G44" i="12"/>
  <c r="C28" i="2"/>
  <c r="L15" i="2" s="1"/>
  <c r="L16" i="2" s="1"/>
  <c r="G28" i="2"/>
  <c r="P15" i="2" s="1"/>
  <c r="P16" i="2" s="1"/>
  <c r="F28" i="2"/>
  <c r="O15" i="2" s="1"/>
  <c r="D28" i="2"/>
  <c r="M15" i="2" s="1"/>
  <c r="M16" i="2" s="1"/>
  <c r="B28" i="2"/>
  <c r="B33" i="3" s="1"/>
  <c r="E28" i="2"/>
  <c r="N15" i="2" s="1"/>
  <c r="N16" i="2" s="1"/>
  <c r="G28" i="11"/>
  <c r="P15" i="11" s="1"/>
  <c r="P16" i="11" s="1"/>
  <c r="F28" i="11"/>
  <c r="O15" i="11" s="1"/>
  <c r="C28" i="11"/>
  <c r="L15" i="11" s="1"/>
  <c r="D28" i="11"/>
  <c r="M15" i="11" s="1"/>
  <c r="E28" i="11"/>
  <c r="N15" i="11" s="1"/>
  <c r="N16" i="11" s="1"/>
  <c r="J57" i="1"/>
  <c r="C33" i="13"/>
  <c r="D33" i="13"/>
  <c r="G33" i="13"/>
  <c r="B33" i="13"/>
  <c r="J57" i="9" s="1"/>
  <c r="E33" i="13"/>
  <c r="K10" i="3"/>
  <c r="O7" i="4"/>
  <c r="C21" i="4"/>
  <c r="C24" i="4" s="1"/>
  <c r="P9" i="4"/>
  <c r="N9" i="4"/>
  <c r="G20" i="4"/>
  <c r="G21" i="4"/>
  <c r="G24" i="4" s="1"/>
  <c r="G23" i="4"/>
  <c r="L9" i="4"/>
  <c r="N7" i="4"/>
  <c r="P7" i="4"/>
  <c r="O6" i="4"/>
  <c r="K6" i="4" s="1"/>
  <c r="K56" i="1" s="1"/>
  <c r="L56" i="1" s="1"/>
  <c r="E50" i="1" s="1"/>
  <c r="C71" i="1" s="1"/>
  <c r="M9" i="4"/>
  <c r="M6" i="4"/>
  <c r="N6" i="4"/>
  <c r="K8" i="3"/>
  <c r="C23" i="4"/>
  <c r="M7" i="4"/>
  <c r="L11" i="11"/>
  <c r="L14" i="11" s="1"/>
  <c r="P11" i="11"/>
  <c r="P14" i="11" s="1"/>
  <c r="N11" i="11"/>
  <c r="O11" i="11"/>
  <c r="M11" i="11"/>
  <c r="M14" i="11" s="1"/>
  <c r="K10" i="11"/>
  <c r="E59" i="9" s="1"/>
  <c r="L6" i="4"/>
  <c r="P6" i="4"/>
  <c r="L7" i="4"/>
  <c r="O9" i="4"/>
  <c r="N13" i="11"/>
  <c r="K13" i="11" s="1"/>
  <c r="K10" i="2"/>
  <c r="N13" i="2"/>
  <c r="K13" i="2" s="1"/>
  <c r="C25" i="2"/>
  <c r="M11" i="2"/>
  <c r="M14" i="2" s="1"/>
  <c r="O11" i="2"/>
  <c r="L11" i="2"/>
  <c r="L14" i="2" s="1"/>
  <c r="N11" i="2"/>
  <c r="P11" i="2"/>
  <c r="K57" i="1"/>
  <c r="E57" i="1"/>
  <c r="E20" i="13"/>
  <c r="K7" i="3"/>
  <c r="E21" i="13"/>
  <c r="E24" i="13" s="1"/>
  <c r="M23" i="3"/>
  <c r="L23" i="3"/>
  <c r="M11" i="3"/>
  <c r="M14" i="3" s="1"/>
  <c r="B26" i="3"/>
  <c r="P11" i="3"/>
  <c r="P14" i="3" s="1"/>
  <c r="B24" i="3"/>
  <c r="L11" i="3"/>
  <c r="L14" i="3" s="1"/>
  <c r="N11" i="3"/>
  <c r="O11" i="3"/>
  <c r="O14" i="3" s="1"/>
  <c r="B29" i="3"/>
  <c r="O10" i="4"/>
  <c r="B20" i="4"/>
  <c r="P10" i="4"/>
  <c r="M10" i="4"/>
  <c r="B23" i="4"/>
  <c r="N10" i="4"/>
  <c r="B21" i="4"/>
  <c r="L10" i="4"/>
  <c r="D21" i="13"/>
  <c r="D24" i="13" s="1"/>
  <c r="K57" i="9"/>
  <c r="E57" i="9"/>
  <c r="F57" i="9" s="1"/>
  <c r="E47" i="9" s="1"/>
  <c r="C68" i="9" s="1"/>
  <c r="B68" i="9" s="1"/>
  <c r="M6" i="13"/>
  <c r="F21" i="13"/>
  <c r="F24" i="13" s="1"/>
  <c r="F20" i="13"/>
  <c r="L6" i="13"/>
  <c r="P6" i="13"/>
  <c r="N6" i="13"/>
  <c r="D23" i="13"/>
  <c r="C23" i="13"/>
  <c r="C21" i="13"/>
  <c r="C24" i="13" s="1"/>
  <c r="C20" i="13"/>
  <c r="B20" i="13"/>
  <c r="P10" i="13"/>
  <c r="B21" i="13"/>
  <c r="M10" i="13"/>
  <c r="N10" i="13"/>
  <c r="L10" i="13"/>
  <c r="O10" i="13"/>
  <c r="B23" i="13"/>
  <c r="O9" i="13"/>
  <c r="M7" i="13"/>
  <c r="M9" i="13"/>
  <c r="P7" i="13"/>
  <c r="O6" i="13"/>
  <c r="L7" i="13"/>
  <c r="O7" i="13"/>
  <c r="N9" i="13"/>
  <c r="N7" i="13"/>
  <c r="P9" i="13"/>
  <c r="L9" i="13"/>
  <c r="F25" i="4" l="1"/>
  <c r="O15" i="4" s="1"/>
  <c r="K15" i="4" s="1"/>
  <c r="G25" i="4"/>
  <c r="P15" i="4" s="1"/>
  <c r="P16" i="4" s="1"/>
  <c r="C25" i="4"/>
  <c r="L15" i="4" s="1"/>
  <c r="L16" i="4" s="1"/>
  <c r="L17" i="4" s="1"/>
  <c r="E25" i="4"/>
  <c r="N15" i="4" s="1"/>
  <c r="N16" i="4" s="1"/>
  <c r="N17" i="4" s="1"/>
  <c r="D25" i="4"/>
  <c r="M15" i="4" s="1"/>
  <c r="M16" i="4" s="1"/>
  <c r="M17" i="4" s="1"/>
  <c r="B25" i="13"/>
  <c r="B34" i="12"/>
  <c r="O16" i="13"/>
  <c r="O17" i="13" s="1"/>
  <c r="K15" i="13"/>
  <c r="E25" i="13"/>
  <c r="N15" i="13" s="1"/>
  <c r="N16" i="13" s="1"/>
  <c r="N17" i="13" s="1"/>
  <c r="C25" i="13"/>
  <c r="L15" i="13" s="1"/>
  <c r="L16" i="13" s="1"/>
  <c r="L17" i="13" s="1"/>
  <c r="D25" i="13"/>
  <c r="M15" i="13" s="1"/>
  <c r="M16" i="13" s="1"/>
  <c r="M17" i="13" s="1"/>
  <c r="G25" i="13"/>
  <c r="P15" i="13" s="1"/>
  <c r="P16" i="13" s="1"/>
  <c r="K15" i="2"/>
  <c r="E61" i="1" s="1"/>
  <c r="O16" i="2"/>
  <c r="K16" i="2" s="1"/>
  <c r="E62" i="1" s="1"/>
  <c r="O16" i="11"/>
  <c r="K16" i="11" s="1"/>
  <c r="K62" i="9" s="1"/>
  <c r="K15" i="11"/>
  <c r="E61" i="9" s="1"/>
  <c r="O17" i="11"/>
  <c r="K17" i="11" s="1"/>
  <c r="N17" i="11"/>
  <c r="L16" i="11"/>
  <c r="L17" i="11"/>
  <c r="M16" i="11"/>
  <c r="M17" i="11"/>
  <c r="K7" i="4"/>
  <c r="O16" i="4"/>
  <c r="K16" i="4" s="1"/>
  <c r="J61" i="1" s="1"/>
  <c r="L57" i="1"/>
  <c r="E51" i="1" s="1"/>
  <c r="C72" i="1" s="1"/>
  <c r="B72" i="1" s="1"/>
  <c r="K59" i="9"/>
  <c r="P17" i="11"/>
  <c r="N14" i="11"/>
  <c r="B71" i="1"/>
  <c r="K9" i="4"/>
  <c r="K11" i="11"/>
  <c r="K60" i="9" s="1"/>
  <c r="O14" i="11"/>
  <c r="K14" i="11" s="1"/>
  <c r="M17" i="2"/>
  <c r="L17" i="2"/>
  <c r="K11" i="2"/>
  <c r="N14" i="2"/>
  <c r="N17" i="2"/>
  <c r="O17" i="2"/>
  <c r="O14" i="2"/>
  <c r="P14" i="2"/>
  <c r="P17" i="2"/>
  <c r="K59" i="1"/>
  <c r="E59" i="1"/>
  <c r="H60" i="3"/>
  <c r="G61" i="3" s="1"/>
  <c r="J60" i="3" s="1"/>
  <c r="K9" i="13"/>
  <c r="K7" i="13"/>
  <c r="N14" i="3"/>
  <c r="K14" i="3" s="1"/>
  <c r="K11" i="3"/>
  <c r="M12" i="3"/>
  <c r="M15" i="3" s="1"/>
  <c r="B30" i="3"/>
  <c r="P12" i="3"/>
  <c r="P15" i="3" s="1"/>
  <c r="L12" i="3"/>
  <c r="L15" i="3" s="1"/>
  <c r="N12" i="3"/>
  <c r="O12" i="3"/>
  <c r="O15" i="3" s="1"/>
  <c r="L13" i="4"/>
  <c r="M13" i="4"/>
  <c r="O13" i="4"/>
  <c r="O11" i="4"/>
  <c r="B24" i="4"/>
  <c r="N11" i="4"/>
  <c r="M11" i="4"/>
  <c r="P11" i="4"/>
  <c r="L11" i="4"/>
  <c r="P17" i="4"/>
  <c r="P13" i="4"/>
  <c r="N13" i="4"/>
  <c r="K10" i="4"/>
  <c r="J59" i="1" s="1"/>
  <c r="K6" i="13"/>
  <c r="K56" i="9" s="1"/>
  <c r="L56" i="9" s="1"/>
  <c r="E50" i="9" s="1"/>
  <c r="C71" i="9" s="1"/>
  <c r="L57" i="9"/>
  <c r="E51" i="9" s="1"/>
  <c r="C72" i="9" s="1"/>
  <c r="B72" i="9" s="1"/>
  <c r="M13" i="13"/>
  <c r="O13" i="13"/>
  <c r="M11" i="13"/>
  <c r="N11" i="13"/>
  <c r="P11" i="13"/>
  <c r="B24" i="13"/>
  <c r="L11" i="13"/>
  <c r="O11" i="13"/>
  <c r="N13" i="13"/>
  <c r="L13" i="13"/>
  <c r="K10" i="13"/>
  <c r="J59" i="9" s="1"/>
  <c r="P13" i="13"/>
  <c r="K61" i="1" l="1"/>
  <c r="E60" i="9"/>
  <c r="K16" i="13"/>
  <c r="J61" i="9" s="1"/>
  <c r="P17" i="13"/>
  <c r="K61" i="9"/>
  <c r="O17" i="4"/>
  <c r="K17" i="4" s="1"/>
  <c r="E63" i="9"/>
  <c r="K17" i="2"/>
  <c r="K62" i="1"/>
  <c r="K14" i="2"/>
  <c r="B71" i="9"/>
  <c r="H55" i="12"/>
  <c r="G56" i="12" s="1"/>
  <c r="J55" i="12" s="1"/>
  <c r="I55" i="12" s="1"/>
  <c r="E19" i="12" s="1"/>
  <c r="H57" i="12"/>
  <c r="G58" i="12" s="1"/>
  <c r="J57" i="12" s="1"/>
  <c r="E62" i="9"/>
  <c r="E60" i="1"/>
  <c r="K60" i="1"/>
  <c r="G17" i="3"/>
  <c r="H58" i="3"/>
  <c r="G59" i="3" s="1"/>
  <c r="J58" i="3" s="1"/>
  <c r="E17" i="3"/>
  <c r="H56" i="12"/>
  <c r="G57" i="12" s="1"/>
  <c r="J56" i="12" s="1"/>
  <c r="E17" i="12"/>
  <c r="K13" i="4"/>
  <c r="K63" i="9"/>
  <c r="K13" i="13"/>
  <c r="K17" i="13"/>
  <c r="K12" i="3"/>
  <c r="N15" i="3"/>
  <c r="K15" i="3" s="1"/>
  <c r="K11" i="4"/>
  <c r="J60" i="1" s="1"/>
  <c r="N14" i="4"/>
  <c r="N18" i="4"/>
  <c r="L18" i="4"/>
  <c r="L14" i="4"/>
  <c r="P18" i="4"/>
  <c r="P14" i="4"/>
  <c r="O18" i="4"/>
  <c r="O14" i="4"/>
  <c r="M14" i="4"/>
  <c r="M18" i="4"/>
  <c r="G17" i="12"/>
  <c r="G23" i="12" s="1"/>
  <c r="F17" i="12"/>
  <c r="L18" i="13"/>
  <c r="L14" i="13"/>
  <c r="O18" i="13"/>
  <c r="O14" i="13"/>
  <c r="N18" i="13"/>
  <c r="N14" i="13"/>
  <c r="M18" i="13"/>
  <c r="M14" i="13"/>
  <c r="P14" i="13"/>
  <c r="P18" i="13"/>
  <c r="K11" i="13"/>
  <c r="J60" i="9" s="1"/>
  <c r="J62" i="1" l="1"/>
  <c r="L62" i="1" s="1"/>
  <c r="I47" i="1" s="1"/>
  <c r="B74" i="1" s="1"/>
  <c r="K63" i="1"/>
  <c r="E63" i="1"/>
  <c r="I57" i="12"/>
  <c r="G19" i="12" s="1"/>
  <c r="G21" i="12" s="1"/>
  <c r="G27" i="12" s="1"/>
  <c r="E23" i="3"/>
  <c r="N20" i="3"/>
  <c r="G23" i="3"/>
  <c r="I58" i="3"/>
  <c r="E19" i="3" s="1"/>
  <c r="E21" i="3" s="1"/>
  <c r="E21" i="12"/>
  <c r="N22" i="12" s="1"/>
  <c r="N21" i="12"/>
  <c r="N20" i="12"/>
  <c r="N19" i="12"/>
  <c r="H17" i="12"/>
  <c r="E23" i="12"/>
  <c r="K18" i="4"/>
  <c r="K14" i="4"/>
  <c r="I56" i="12"/>
  <c r="F19" i="12" s="1"/>
  <c r="F21" i="12" s="1"/>
  <c r="F25" i="12" s="1"/>
  <c r="P20" i="12"/>
  <c r="J62" i="9"/>
  <c r="L62" i="9" s="1"/>
  <c r="I47" i="9" s="1"/>
  <c r="K18" i="13"/>
  <c r="K14" i="13"/>
  <c r="F23" i="12"/>
  <c r="O20" i="12"/>
  <c r="E74" i="1" l="1"/>
  <c r="B76" i="1" s="1"/>
  <c r="B31" i="1" s="1"/>
  <c r="C74" i="1"/>
  <c r="B29" i="1" s="1"/>
  <c r="G25" i="12"/>
  <c r="E74" i="9"/>
  <c r="B76" i="9" s="1"/>
  <c r="B31" i="9" s="1"/>
  <c r="C74" i="9"/>
  <c r="B74" i="9"/>
  <c r="J63" i="1"/>
  <c r="L63" i="1" s="1"/>
  <c r="E27" i="12"/>
  <c r="N23" i="12" s="1"/>
  <c r="E25" i="12"/>
  <c r="E27" i="3"/>
  <c r="N22" i="3"/>
  <c r="E25" i="3"/>
  <c r="N21" i="3"/>
  <c r="N19" i="3"/>
  <c r="N18" i="3"/>
  <c r="N17" i="3"/>
  <c r="K20" i="12"/>
  <c r="P21" i="12"/>
  <c r="P19" i="12"/>
  <c r="O19" i="12"/>
  <c r="K19" i="12" s="1"/>
  <c r="O21" i="12"/>
  <c r="N17" i="12"/>
  <c r="N18" i="12"/>
  <c r="P18" i="12"/>
  <c r="J63" i="9"/>
  <c r="L63" i="9" s="1"/>
  <c r="F27" i="12"/>
  <c r="P17" i="12"/>
  <c r="P22" i="12"/>
  <c r="O22" i="12"/>
  <c r="O17" i="12"/>
  <c r="O18" i="12"/>
  <c r="H23" i="12"/>
  <c r="B35" i="12" s="1"/>
  <c r="B29" i="9" l="1"/>
  <c r="C35" i="12"/>
  <c r="G35" i="12"/>
  <c r="D35" i="12"/>
  <c r="N24" i="12" s="1"/>
  <c r="N25" i="12" s="1"/>
  <c r="L24" i="12"/>
  <c r="E35" i="12"/>
  <c r="O24" i="12" s="1"/>
  <c r="K24" i="12" s="1"/>
  <c r="D61" i="9" s="1"/>
  <c r="F35" i="12"/>
  <c r="P24" i="12" s="1"/>
  <c r="P25" i="12" s="1"/>
  <c r="M24" i="12"/>
  <c r="N23" i="3"/>
  <c r="O23" i="12"/>
  <c r="K21" i="12"/>
  <c r="K17" i="12"/>
  <c r="K18" i="12"/>
  <c r="P23" i="12"/>
  <c r="K22" i="12"/>
  <c r="D59" i="9" s="1"/>
  <c r="O25" i="12" l="1"/>
  <c r="K25" i="12" s="1"/>
  <c r="D62" i="9" s="1"/>
  <c r="F62" i="9" s="1"/>
  <c r="O26" i="12"/>
  <c r="K26" i="12" s="1"/>
  <c r="D63" i="9" s="1"/>
  <c r="F63" i="9" s="1"/>
  <c r="I45" i="9" s="1"/>
  <c r="M26" i="12"/>
  <c r="M25" i="12"/>
  <c r="E55" i="9"/>
  <c r="F55" i="9" s="1"/>
  <c r="E45" i="9" s="1"/>
  <c r="C66" i="9" s="1"/>
  <c r="B66" i="9" s="1"/>
  <c r="P26" i="12"/>
  <c r="L26" i="12"/>
  <c r="L25" i="12"/>
  <c r="N26" i="12"/>
  <c r="E56" i="9"/>
  <c r="F56" i="9" s="1"/>
  <c r="E46" i="9" s="1"/>
  <c r="C67" i="9" s="1"/>
  <c r="B67" i="9" s="1"/>
  <c r="K23" i="12"/>
  <c r="D60" i="9" s="1"/>
  <c r="B73" i="9" l="1"/>
  <c r="E73" i="9"/>
  <c r="B75" i="9" s="1"/>
  <c r="B26" i="9" s="1"/>
  <c r="C73" i="9"/>
  <c r="B24" i="9" s="1"/>
  <c r="B38" i="3" l="1"/>
  <c r="J97" i="3" l="1"/>
  <c r="K97" i="3" s="1"/>
  <c r="J67" i="3"/>
  <c r="K67" i="3" s="1"/>
  <c r="J83" i="3"/>
  <c r="K83" i="3" s="1"/>
  <c r="J103" i="3"/>
  <c r="K103" i="3" s="1"/>
  <c r="J73" i="3"/>
  <c r="K73" i="3" s="1"/>
  <c r="J104" i="3"/>
  <c r="K104" i="3" s="1"/>
  <c r="J69" i="3"/>
  <c r="K69" i="3" s="1"/>
  <c r="J90" i="3"/>
  <c r="K90" i="3" s="1"/>
  <c r="J74" i="3"/>
  <c r="K74" i="3" s="1"/>
  <c r="J86" i="3"/>
  <c r="K86" i="3" s="1"/>
  <c r="J91" i="3"/>
  <c r="K91" i="3" s="1"/>
  <c r="J70" i="3"/>
  <c r="K70" i="3" s="1"/>
  <c r="J85" i="3"/>
  <c r="K85" i="3" s="1"/>
  <c r="J78" i="3"/>
  <c r="K78" i="3" s="1"/>
  <c r="J76" i="3"/>
  <c r="K76" i="3" s="1"/>
  <c r="J75" i="3"/>
  <c r="K75" i="3" s="1"/>
  <c r="J92" i="3"/>
  <c r="K92" i="3" s="1"/>
  <c r="J72" i="3"/>
  <c r="K72" i="3" s="1"/>
  <c r="J80" i="3"/>
  <c r="K80" i="3" s="1"/>
  <c r="J81" i="3"/>
  <c r="K81" i="3" s="1"/>
  <c r="B43" i="3" s="1"/>
  <c r="J89" i="3"/>
  <c r="K89" i="3" s="1"/>
  <c r="J82" i="3"/>
  <c r="K82" i="3" s="1"/>
  <c r="J66" i="3"/>
  <c r="K66" i="3" s="1"/>
  <c r="J84" i="3"/>
  <c r="K84" i="3" s="1"/>
  <c r="J102" i="3"/>
  <c r="K102" i="3" s="1"/>
  <c r="J77" i="3"/>
  <c r="K77" i="3" s="1"/>
  <c r="J101" i="3"/>
  <c r="K101" i="3" s="1"/>
  <c r="J93" i="3"/>
  <c r="K93" i="3" s="1"/>
  <c r="J65" i="3"/>
  <c r="K65" i="3" s="1"/>
  <c r="J95" i="3"/>
  <c r="K95" i="3" s="1"/>
  <c r="J79" i="3"/>
  <c r="K79" i="3" s="1"/>
  <c r="J94" i="3"/>
  <c r="K94" i="3" s="1"/>
  <c r="J71" i="3"/>
  <c r="K71" i="3" s="1"/>
  <c r="J88" i="3"/>
  <c r="K88" i="3" s="1"/>
  <c r="J98" i="3"/>
  <c r="K98" i="3" s="1"/>
  <c r="J96" i="3"/>
  <c r="K96" i="3" s="1"/>
  <c r="J68" i="3"/>
  <c r="K68" i="3" s="1"/>
  <c r="J87" i="3"/>
  <c r="K87" i="3" s="1"/>
  <c r="J100" i="3"/>
  <c r="K100" i="3" s="1"/>
  <c r="J99" i="3"/>
  <c r="K99" i="3" s="1"/>
  <c r="B34" i="3" l="1"/>
  <c r="D57" i="1"/>
  <c r="F57" i="1" s="1"/>
  <c r="E47" i="1" s="1"/>
  <c r="C68" i="1" s="1"/>
  <c r="B68" i="1" s="1"/>
  <c r="H59" i="3" l="1"/>
  <c r="F17" i="3"/>
  <c r="P20" i="3" l="1"/>
  <c r="H17" i="3"/>
  <c r="O20" i="3"/>
  <c r="K20" i="3" s="1"/>
  <c r="F23" i="3"/>
  <c r="G60" i="3"/>
  <c r="J59" i="3" s="1"/>
  <c r="I60" i="3" s="1"/>
  <c r="G19" i="3" s="1"/>
  <c r="G21" i="3" s="1"/>
  <c r="I59" i="3" l="1"/>
  <c r="F19" i="3" s="1"/>
  <c r="O19" i="3" s="1"/>
  <c r="K19" i="3" s="1"/>
  <c r="P17" i="3"/>
  <c r="H23" i="3"/>
  <c r="O17" i="3"/>
  <c r="K17" i="3" s="1"/>
  <c r="E55" i="1" s="1"/>
  <c r="F55" i="1" s="1"/>
  <c r="E45" i="1" s="1"/>
  <c r="C66" i="1" s="1"/>
  <c r="B66" i="1" s="1"/>
  <c r="G27" i="3"/>
  <c r="G25" i="3"/>
  <c r="P18" i="3" l="1"/>
  <c r="O21" i="3"/>
  <c r="K21" i="3" s="1"/>
  <c r="O18" i="3"/>
  <c r="K18" i="3" s="1"/>
  <c r="E56" i="1" s="1"/>
  <c r="F56" i="1" s="1"/>
  <c r="E46" i="1" s="1"/>
  <c r="C67" i="1" s="1"/>
  <c r="B67" i="1" s="1"/>
  <c r="F21" i="3"/>
  <c r="O22" i="3" s="1"/>
  <c r="K22" i="3" s="1"/>
  <c r="D59" i="1" s="1"/>
  <c r="P21" i="3"/>
  <c r="P19" i="3"/>
  <c r="C35" i="3"/>
  <c r="L24" i="3" s="1"/>
  <c r="G35" i="3"/>
  <c r="P24" i="3" s="1"/>
  <c r="D35" i="3"/>
  <c r="M24" i="3" s="1"/>
  <c r="B35" i="3"/>
  <c r="E35" i="3"/>
  <c r="N24" i="3" s="1"/>
  <c r="F35" i="3"/>
  <c r="O24" i="3" s="1"/>
  <c r="P22" i="3" l="1"/>
  <c r="P25" i="3" s="1"/>
  <c r="F25" i="3"/>
  <c r="F27" i="3"/>
  <c r="P23" i="3" s="1"/>
  <c r="P26" i="3" s="1"/>
  <c r="O25" i="3"/>
  <c r="K25" i="3" s="1"/>
  <c r="D62" i="1" s="1"/>
  <c r="F62" i="1" s="1"/>
  <c r="K24" i="3"/>
  <c r="D61" i="1" s="1"/>
  <c r="M26" i="3"/>
  <c r="M25" i="3"/>
  <c r="L26" i="3"/>
  <c r="L25" i="3"/>
  <c r="N25" i="3"/>
  <c r="N26" i="3"/>
  <c r="O23" i="3" l="1"/>
  <c r="K23" i="3" s="1"/>
  <c r="D60" i="1" s="1"/>
  <c r="O26" i="3" l="1"/>
  <c r="K26" i="3" s="1"/>
  <c r="D63" i="1" s="1"/>
  <c r="F63" i="1" s="1"/>
  <c r="I45" i="1" s="1"/>
  <c r="B73" i="1" s="1"/>
  <c r="E73" i="1" l="1"/>
  <c r="B75" i="1" s="1"/>
  <c r="B26" i="1" s="1"/>
  <c r="C73" i="1"/>
  <c r="B2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tc={0C994C5E-877C-9242-BED3-13D4C529861D}</author>
    <author>tc={815B5D1B-8387-0044-B93B-CA72BAB376AC}</author>
    <author>tc={CD01D79B-E65E-504B-A0F6-EF2EDF04FFDA}</author>
    <author>tc={C7855A2D-6AAA-194D-A78F-4487020A4B23}</author>
    <author>tc={36FA5F58-5763-C949-A8A3-82296772F339}</author>
  </authors>
  <commentList>
    <comment ref="F4" authorId="0" shapeId="0" xr:uid="{0C994C5E-877C-9242-BED3-13D4C529861D}">
      <text>
        <t>[Threaded comment]
Your version of Excel allows you to read this threaded comment; however, any edits to it will get removed if the file is opened in a newer version of Excel. Learn more: https://go.microsoft.com/fwlink/?linkid=870924
Comment:
    130% of NRC</t>
      </text>
    </comment>
    <comment ref="F5" authorId="1" shapeId="0" xr:uid="{815B5D1B-8387-0044-B93B-CA72BAB376AC}">
      <text>
        <t>[Threaded comment]
Your version of Excel allows you to read this threaded comment; however, any edits to it will get removed if the file is opened in a newer version of Excel. Learn more: https://go.microsoft.com/fwlink/?linkid=870924
Comment:
    122% of NRC</t>
      </text>
    </comment>
    <comment ref="F6" authorId="2" shapeId="0" xr:uid="{CD01D79B-E65E-504B-A0F6-EF2EDF04FFDA}">
      <text>
        <t>[Threaded comment]
Your version of Excel allows you to read this threaded comment; however, any edits to it will get removed if the file is opened in a newer version of Excel. Learn more: https://go.microsoft.com/fwlink/?linkid=870924
Comment:
    122% of NRC</t>
      </text>
    </comment>
    <comment ref="F7" authorId="3" shapeId="0" xr:uid="{C7855A2D-6AAA-194D-A78F-4487020A4B23}">
      <text>
        <t>[Threaded comment]
Your version of Excel allows you to read this threaded comment; however, any edits to it will get removed if the file is opened in a newer version of Excel. Learn more: https://go.microsoft.com/fwlink/?linkid=870924
Comment:
    122% of NRC</t>
      </text>
    </comment>
    <comment ref="F8" authorId="4" shapeId="0" xr:uid="{36FA5F58-5763-C949-A8A3-82296772F339}">
      <text>
        <t>[Threaded comment]
Your version of Excel allows you to read this threaded comment; however, any edits to it will get removed if the file is opened in a newer version of Excel. Learn more: https://go.microsoft.com/fwlink/?linkid=870924
Comment:
    122% of NRC</t>
      </text>
    </comment>
  </commentList>
</comments>
</file>

<file path=xl/sharedStrings.xml><?xml version="1.0" encoding="utf-8"?>
<sst xmlns="http://schemas.openxmlformats.org/spreadsheetml/2006/main" count="767" uniqueCount="232">
  <si>
    <t>Gender</t>
  </si>
  <si>
    <t>Barrows and gilts</t>
  </si>
  <si>
    <t>Slot (Phase) 1</t>
  </si>
  <si>
    <t>STTD P:NE</t>
  </si>
  <si>
    <t>Facility cost, $/pig/day</t>
  </si>
  <si>
    <t>Barrows and Gilts</t>
  </si>
  <si>
    <t>Number of phases</t>
  </si>
  <si>
    <t>Slot (Phase) 2</t>
  </si>
  <si>
    <t>Current diets</t>
  </si>
  <si>
    <t>STTD P, %</t>
  </si>
  <si>
    <t>Avg Wt, kg</t>
  </si>
  <si>
    <t>Slot (phase 1)</t>
  </si>
  <si>
    <t>Slot (Phase) 3</t>
  </si>
  <si>
    <t>Slot (phase 3)</t>
  </si>
  <si>
    <t>Slot (phase 4)</t>
  </si>
  <si>
    <t>Slot (phase 5)</t>
  </si>
  <si>
    <t>Slot (Phase) 4</t>
  </si>
  <si>
    <t>Total gain</t>
  </si>
  <si>
    <t>Slot (Phase) 5</t>
  </si>
  <si>
    <t>Economics, $/pig</t>
  </si>
  <si>
    <t xml:space="preserve">  Total feed cost</t>
  </si>
  <si>
    <t xml:space="preserve">  Total feed and facility cost</t>
  </si>
  <si>
    <t xml:space="preserve">  Total revenue</t>
  </si>
  <si>
    <t>Difference</t>
  </si>
  <si>
    <t xml:space="preserve">  IOFC</t>
  </si>
  <si>
    <t xml:space="preserve">  IOFFC</t>
  </si>
  <si>
    <t>Economic model for optimum phosphorus level - Model Calculations by phase</t>
  </si>
  <si>
    <t>Item</t>
  </si>
  <si>
    <t>Dietary phase</t>
  </si>
  <si>
    <t>Summary of Calculations with Current Phosphorus Levels</t>
  </si>
  <si>
    <t>Output</t>
  </si>
  <si>
    <t>Current NE, kcal/kg</t>
  </si>
  <si>
    <t>Current Diet Cost, $/Ton</t>
  </si>
  <si>
    <t>Total feed cost per phase, $/pig</t>
  </si>
  <si>
    <t>Feed cost per/lb of gain, $/pig</t>
  </si>
  <si>
    <t>Feed and facility cost, $/pig</t>
  </si>
  <si>
    <t>Revenue per pig, $/pig</t>
  </si>
  <si>
    <t>IOFC by phase, $/pig</t>
  </si>
  <si>
    <t>IOFFC by phase, $/pig</t>
  </si>
  <si>
    <t>Phase duration, d</t>
  </si>
  <si>
    <t>Predicted F/G</t>
  </si>
  <si>
    <t>Phases duration, d</t>
  </si>
  <si>
    <t>Total feed cost, $/pig</t>
  </si>
  <si>
    <t>Total feed cost &amp; facility cost, $/pig</t>
  </si>
  <si>
    <t>Total IOFC Live, $/pig</t>
  </si>
  <si>
    <t>Total IOFFC Live, $/pig</t>
  </si>
  <si>
    <t>Current carcass yield, %</t>
  </si>
  <si>
    <t>Economic evaluation criteria</t>
  </si>
  <si>
    <t>Live</t>
  </si>
  <si>
    <t>Carcass</t>
  </si>
  <si>
    <t>Revenue Live, $/pig</t>
  </si>
  <si>
    <t>Revenue Carcass, $/pig</t>
  </si>
  <si>
    <t>Total IOFC Carcass, $/pig</t>
  </si>
  <si>
    <t>Total IOFFC Carcass $/pig</t>
  </si>
  <si>
    <t>Total IOFFC Carcass, $/pig</t>
  </si>
  <si>
    <t>Revenue per pig by phase, $/pig</t>
  </si>
  <si>
    <t>Calculated Overall ADG with STTD P trial (Vier et al.,2017)</t>
  </si>
  <si>
    <t>Calculated Overall G:F with STTD P trial (Vier et al.,2017)</t>
  </si>
  <si>
    <t>Predicted Overall ADFI, g/d</t>
  </si>
  <si>
    <t>Precited Overall F/G</t>
  </si>
  <si>
    <t>Predicted Overall F/G</t>
  </si>
  <si>
    <t>Mixed Sex Feed Budget</t>
  </si>
  <si>
    <t>Closeout Feed Efficiency</t>
  </si>
  <si>
    <t>Initial Wt</t>
  </si>
  <si>
    <t>Final Wt</t>
  </si>
  <si>
    <t>F/G</t>
  </si>
  <si>
    <t>lb/pig</t>
  </si>
  <si>
    <t>Start_wt_kg</t>
  </si>
  <si>
    <t>End_wt_kg</t>
  </si>
  <si>
    <t>Avg wt_kg</t>
  </si>
  <si>
    <t>STTD P req</t>
  </si>
  <si>
    <t>STTDP_NE_kg</t>
  </si>
  <si>
    <r>
      <t>0.000047291257153852600x</t>
    </r>
    <r>
      <rPr>
        <vertAlign val="superscript"/>
        <sz val="12"/>
        <color theme="1"/>
        <rFont val="Calibri"/>
        <family val="2"/>
        <scheme val="minor"/>
      </rPr>
      <t>2</t>
    </r>
    <r>
      <rPr>
        <sz val="12"/>
        <color theme="1"/>
        <rFont val="Calibri"/>
        <family val="2"/>
        <scheme val="minor"/>
      </rPr>
      <t xml:space="preserve"> - 0.014390782029002800000x + 2.027514542222900000000</t>
    </r>
  </si>
  <si>
    <t>Overall average F/G (weighted average based on phase duration)</t>
  </si>
  <si>
    <t>HCW</t>
  </si>
  <si>
    <t>STTD P</t>
  </si>
  <si>
    <t>Weighted average of STTD P</t>
  </si>
  <si>
    <t>Hot Carcass Wheight</t>
  </si>
  <si>
    <r>
      <t xml:space="preserve">Market weight    </t>
    </r>
    <r>
      <rPr>
        <sz val="10"/>
        <color theme="1"/>
        <rFont val="Calibri"/>
        <family val="2"/>
        <scheme val="minor"/>
      </rPr>
      <t>(est. by Carcass yield)</t>
    </r>
  </si>
  <si>
    <t>Back Fat for PIC 337</t>
  </si>
  <si>
    <r>
      <t xml:space="preserve">Carcass Yield (%) =                                  </t>
    </r>
    <r>
      <rPr>
        <b/>
        <sz val="11"/>
        <color rgb="FFFF0000"/>
        <rFont val="Calibri"/>
        <family val="2"/>
        <scheme val="minor"/>
      </rPr>
      <t xml:space="preserve"> 66.411 + ( Carcass weight, kg x 0.0878)</t>
    </r>
  </si>
  <si>
    <t>kg</t>
  </si>
  <si>
    <t>Barrows</t>
  </si>
  <si>
    <t>Gilts</t>
  </si>
  <si>
    <t>Average</t>
  </si>
  <si>
    <t>Total P</t>
  </si>
  <si>
    <t>Trial</t>
  </si>
  <si>
    <t>TotalP_NE_kg</t>
  </si>
  <si>
    <t xml:space="preserve">STTD P, % </t>
  </si>
  <si>
    <t>Slot (phase 2)</t>
  </si>
  <si>
    <t>User yield</t>
  </si>
  <si>
    <t>User/PIC ratio</t>
  </si>
  <si>
    <t>User/PIC Adjusted Yield</t>
  </si>
  <si>
    <t>Output - Fixed Time (space short)</t>
  </si>
  <si>
    <t>Output - Fixed Weight (space long)</t>
  </si>
  <si>
    <t>Biological</t>
  </si>
  <si>
    <t>Current</t>
  </si>
  <si>
    <t>Slot (Phase) 6</t>
  </si>
  <si>
    <t>Optimum STTD Ca:STTD P</t>
  </si>
  <si>
    <t>NRC, % STTD P</t>
  </si>
  <si>
    <t>NRC, 2012. Table 16-1A</t>
  </si>
  <si>
    <t>Body Weight Range, Kg</t>
  </si>
  <si>
    <t>Item:</t>
  </si>
  <si>
    <t>Avg. wt, calculated</t>
  </si>
  <si>
    <t>P, STTD</t>
  </si>
  <si>
    <t>Reformatted table for Regression Analysis</t>
  </si>
  <si>
    <t>Growth Stage</t>
  </si>
  <si>
    <t>Avg. wt, kg</t>
  </si>
  <si>
    <t>Wt*Wt</t>
  </si>
  <si>
    <t>Early growth</t>
  </si>
  <si>
    <t>Grow-finish</t>
  </si>
  <si>
    <t>SUMMARY OUTPUT</t>
  </si>
  <si>
    <t>Regression Statistics</t>
  </si>
  <si>
    <t>Multiple R</t>
  </si>
  <si>
    <t>R Square</t>
  </si>
  <si>
    <t>Adjusted R Square</t>
  </si>
  <si>
    <t>Standard Error</t>
  </si>
  <si>
    <t>Observations</t>
  </si>
  <si>
    <t>ANOVA</t>
  </si>
  <si>
    <t>Regression</t>
  </si>
  <si>
    <t>Residual</t>
  </si>
  <si>
    <t>Total</t>
  </si>
  <si>
    <t>Intercept</t>
  </si>
  <si>
    <t>df</t>
  </si>
  <si>
    <t>SS</t>
  </si>
  <si>
    <t>MS</t>
  </si>
  <si>
    <t>F</t>
  </si>
  <si>
    <t>Significance F</t>
  </si>
  <si>
    <t>Coefficients</t>
  </si>
  <si>
    <t>t Stat</t>
  </si>
  <si>
    <t>P-value</t>
  </si>
  <si>
    <t>Lower 95%</t>
  </si>
  <si>
    <t>Upper 95%</t>
  </si>
  <si>
    <t>Lower 95.0%</t>
  </si>
  <si>
    <t>Upper 95.0%</t>
  </si>
  <si>
    <t>X Variable 1</t>
  </si>
  <si>
    <t>RESIDUAL OUTPUT</t>
  </si>
  <si>
    <t>Observation</t>
  </si>
  <si>
    <t>Predicted Y</t>
  </si>
  <si>
    <t>Residuals</t>
  </si>
  <si>
    <t>Standard Residuals</t>
  </si>
  <si>
    <t>Linear</t>
  </si>
  <si>
    <t>Exponential</t>
  </si>
  <si>
    <t>Actual</t>
  </si>
  <si>
    <t>Current % of NRC</t>
  </si>
  <si>
    <t>ADG response</t>
  </si>
  <si>
    <t>% of maximum ADG</t>
  </si>
  <si>
    <t>% of maximum feed efficiency</t>
  </si>
  <si>
    <r>
      <t xml:space="preserve">Input </t>
    </r>
    <r>
      <rPr>
        <b/>
        <i/>
        <sz val="16"/>
        <color theme="1"/>
        <rFont val="Calibri"/>
        <family val="2"/>
        <scheme val="minor"/>
      </rPr>
      <t>(please fill yellow cells)</t>
    </r>
  </si>
  <si>
    <t>Yield equation</t>
  </si>
  <si>
    <t>73.859 - 1.19192 x STTD P % of NRC</t>
  </si>
  <si>
    <t>Current STTD P as a % of NRC</t>
  </si>
  <si>
    <t>Predicted yield based on STTD P level</t>
  </si>
  <si>
    <t>User/PIC Asjusted and STTD P adjusted</t>
  </si>
  <si>
    <t>Yield at 100% of NRC</t>
  </si>
  <si>
    <t>Yield based on final body weight and PIC equation</t>
  </si>
  <si>
    <t>Yield correction factor based on STTD P level</t>
  </si>
  <si>
    <t>Corrected current yield</t>
  </si>
  <si>
    <t>Calculated Overall HCW, lb based on final BW and corrected yield</t>
  </si>
  <si>
    <t>Yield based on final BW and PIC equation</t>
  </si>
  <si>
    <t>Calculated Overall HCW,lb based on final BW and corrected yield</t>
  </si>
  <si>
    <t>Biological % of NRC</t>
  </si>
  <si>
    <t>Predicted yield based on biological STTD P level</t>
  </si>
  <si>
    <t>Current STTD P as % of NRC</t>
  </si>
  <si>
    <t>Biological STTD P as % of NRC</t>
  </si>
  <si>
    <t>Avg_ME_kcal_kg</t>
  </si>
  <si>
    <t>STTD P_ME_kg</t>
  </si>
  <si>
    <t>Avg_NE_kcal_lb</t>
  </si>
  <si>
    <t>Avg_NE_kcal_kg</t>
  </si>
  <si>
    <t>Avg_ME_kcal_lb</t>
  </si>
  <si>
    <r>
      <t>0.000030626936175869600x</t>
    </r>
    <r>
      <rPr>
        <vertAlign val="superscript"/>
        <sz val="12"/>
        <color theme="1"/>
        <rFont val="Calibri"/>
        <family val="2"/>
        <scheme val="minor"/>
      </rPr>
      <t>2</t>
    </r>
    <r>
      <rPr>
        <sz val="12"/>
        <color theme="1"/>
        <rFont val="Calibri"/>
        <family val="2"/>
        <scheme val="minor"/>
      </rPr>
      <t xml:space="preserve"> - 0.009664361472054440000x + 1.476750678631610000000</t>
    </r>
  </si>
  <si>
    <t>STTD P:ME</t>
  </si>
  <si>
    <t>BW, kg</t>
  </si>
  <si>
    <t>Energy, kcal NE/kg</t>
  </si>
  <si>
    <t>Gain, kg</t>
  </si>
  <si>
    <t>Slot (phase 6)</t>
  </si>
  <si>
    <t>Feed budget by phase, kg/pig</t>
  </si>
  <si>
    <t>Starting weight, kg</t>
  </si>
  <si>
    <t>Final weight, kg</t>
  </si>
  <si>
    <t>Total gain, lg</t>
  </si>
  <si>
    <t>Average Starting Wt &amp; End Wt, kg</t>
  </si>
  <si>
    <t>Feed cost per/kg of gain, $/pig</t>
  </si>
  <si>
    <t>Predicted ADG, g</t>
  </si>
  <si>
    <t>Predicted ADFI, kg</t>
  </si>
  <si>
    <t>Total feed, kg/pig</t>
  </si>
  <si>
    <t>Total gain, kg</t>
  </si>
  <si>
    <t>Predicted ADG, kg</t>
  </si>
  <si>
    <t>Live pig price, $/kg</t>
  </si>
  <si>
    <t>Carcass price, $/kg</t>
  </si>
  <si>
    <t>Energy, kcal ME/kg</t>
  </si>
  <si>
    <t>Calculated overall HCW for CURRENT performance</t>
  </si>
  <si>
    <t>Predicted final BW, lb for Fixed Weight to achieve the same Current Carcass Wt</t>
  </si>
  <si>
    <t>Phase duration, d for Live Basis</t>
  </si>
  <si>
    <t>Feed budget by phase, kg/pig for Live Basis</t>
  </si>
  <si>
    <t>Total feed cost per phase, $/pig for Live Basis</t>
  </si>
  <si>
    <t>Gain, kg for Live Basis</t>
  </si>
  <si>
    <t>Feed cost per/kg of gain, $/pig for Live Basis</t>
  </si>
  <si>
    <t>Feed and facility cost, $/pig for Live Basis</t>
  </si>
  <si>
    <t>Revenue per pig by phase, $/pig for Live Basis</t>
  </si>
  <si>
    <t>Phase duration, d for Carcass Basis</t>
  </si>
  <si>
    <t>Feed budget by phase, kg/pig for Carcass Basis</t>
  </si>
  <si>
    <t>Total feed cost per phase, $/pig for Carcass Basis</t>
  </si>
  <si>
    <t>Gain, kg for Carcass Basis</t>
  </si>
  <si>
    <t>Feed cost per/kg of gain, $/pig for Carcass Basis</t>
  </si>
  <si>
    <t>Feed and facility cost, $/pig for Carcass Basis</t>
  </si>
  <si>
    <t>Mixed Sex Feed Budget - Live Basis</t>
  </si>
  <si>
    <t>Mixed Sex Feed Budget - Carcass Basis</t>
  </si>
  <si>
    <t>Maximal Growth</t>
  </si>
  <si>
    <t>Fixed Weight (space long)</t>
  </si>
  <si>
    <t>Fixed Time (space short)</t>
  </si>
  <si>
    <t>Carcass yield</t>
  </si>
  <si>
    <t>Growth rate</t>
  </si>
  <si>
    <t>Feed efficiency</t>
  </si>
  <si>
    <t>IOFC</t>
  </si>
  <si>
    <t>Performance Output</t>
  </si>
  <si>
    <t>Economics Output</t>
  </si>
  <si>
    <t>Maximize bone mineralization</t>
  </si>
  <si>
    <t xml:space="preserve">            Economic model for optimum phosphorus level v2.0</t>
  </si>
  <si>
    <t>α</t>
  </si>
  <si>
    <t>Performance difference by changing from current diets to the levels for maximal growth, %</t>
  </si>
  <si>
    <t>Net profit difference by changing from current diets to the levels for maximal growth, $/pig</t>
  </si>
  <si>
    <t>$/tonne</t>
  </si>
  <si>
    <t>Phase</t>
  </si>
  <si>
    <t>Biological requirement</t>
  </si>
  <si>
    <t>Performance and economics output - Fixed Weight (space long)</t>
  </si>
  <si>
    <t>Performance and economics output - Fixed Time (space short)</t>
  </si>
  <si>
    <t>The STTD P to to energy ratios meet the biological requirements for PIC 327, 337, and 359 sired pigs. PIC suggests to utilize 99% of the tool estimates for PIC 380, 408, and 410 sired pigs; and 97% for PIC 800 sired pigs to achieve the biological requirements of these sirelines.</t>
  </si>
  <si>
    <t>To be used by trained swine nutritionists. Maximal growth is based on ADG response (which also captures 100% of maximum feed efficiency). Background performance equations for STTD P are based on a commercial study with 1,134 PIC pigs (Vier et al., 2019). When STTD P is set for maximal growth, the dietary total Ca:STTD P ratio ranges from 1.96:1:1 to 2.48:1, and the STTD Ca:STTD P ratio ranges from 1.39:1 to 1.79:1 to obtain 99 to 100% maximal growth. These ratios are based on two commercial studies with 2,349 PIC pigs (Vier et al., 2019) and assumed release values of 0.132% STTD P, 0.144% Total Ca, and 0.096% STTD Ca if phytase is used. When STTD P is set at NRC (2012) or lower, narrower Ca:P ratios should be used.  Other environmental factors can influence daily nutrient requirements and should be adjusted for each production system to avoid behavioral or welfare issues. The above are only estimates and not guarantees of performance or costs. For questions on this calculator please contact the KSU Applied Swine Nutrition Team or the PIC Nutrition Team.</t>
  </si>
  <si>
    <t>%</t>
  </si>
  <si>
    <t>$</t>
  </si>
  <si>
    <r>
      <t xml:space="preserve">                 Economic model for optimum phosphorus levels v2.0</t>
    </r>
    <r>
      <rPr>
        <b/>
        <vertAlign val="superscript"/>
        <sz val="28"/>
        <color rgb="FF7030A0"/>
        <rFont val="Calibri"/>
        <family val="2"/>
      </rPr>
      <t>α</t>
    </r>
  </si>
  <si>
    <t>Yield considered for head on (carcass yield &gt; 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</si>
</sst>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_(&quot;$&quot;* \(#,##0.00\);_(&quot;$&quot;* &quot;-&quot;??_);_(@_)"/>
    <numFmt numFmtId="43" formatCode="_(* #,##0.00_);_(* \(#,##0.00\);_(* &quot;-&quot;??_);_(@_)"/>
    <numFmt numFmtId="164" formatCode="&quot;$&quot;#,##0.00"/>
    <numFmt numFmtId="165" formatCode="0.0"/>
    <numFmt numFmtId="166" formatCode="0.0000000"/>
    <numFmt numFmtId="167" formatCode="0.0%"/>
    <numFmt numFmtId="168" formatCode="0.000"/>
    <numFmt numFmtId="169" formatCode="0.00000"/>
    <numFmt numFmtId="170" formatCode="_(* #,##0_);_(* \(#,##0\);_(* &quot;-&quot;??_);_(@_)"/>
    <numFmt numFmtId="171" formatCode="0.000000000"/>
    <numFmt numFmtId="172" formatCode="0.0000"/>
  </numFmts>
  <fonts count="43">
    <font>
      <sz val="12"/>
      <color theme="1"/>
      <name val="Calibri"/>
      <family val="2"/>
      <scheme val="minor"/>
    </font>
    <font>
      <sz val="12"/>
      <color theme="1"/>
      <name val="Calibri"/>
      <family val="2"/>
      <scheme val="minor"/>
    </font>
    <font>
      <b/>
      <sz val="12"/>
      <color theme="1"/>
      <name val="Calibri"/>
      <family val="2"/>
      <scheme val="minor"/>
    </font>
    <font>
      <b/>
      <sz val="16"/>
      <color theme="1"/>
      <name val="Arial Narrow"/>
      <family val="2"/>
    </font>
    <font>
      <b/>
      <sz val="11"/>
      <color theme="1"/>
      <name val="Calibri"/>
      <family val="2"/>
      <scheme val="minor"/>
    </font>
    <font>
      <sz val="14"/>
      <color theme="1"/>
      <name val="Calibri"/>
      <family val="2"/>
      <scheme val="minor"/>
    </font>
    <font>
      <i/>
      <sz val="11"/>
      <color theme="1"/>
      <name val="Calibri"/>
      <family val="2"/>
      <scheme val="minor"/>
    </font>
    <font>
      <sz val="11"/>
      <name val="Calibri"/>
      <family val="2"/>
      <scheme val="minor"/>
    </font>
    <font>
      <sz val="11"/>
      <color theme="1"/>
      <name val="Calibri"/>
      <family val="2"/>
      <scheme val="minor"/>
    </font>
    <font>
      <b/>
      <sz val="14"/>
      <color theme="1"/>
      <name val="Calibri"/>
      <family val="2"/>
      <scheme val="minor"/>
    </font>
    <font>
      <b/>
      <sz val="16"/>
      <color theme="1"/>
      <name val="Calibri"/>
      <family val="2"/>
      <scheme val="minor"/>
    </font>
    <font>
      <vertAlign val="superscript"/>
      <sz val="12"/>
      <color theme="1"/>
      <name val="Calibri"/>
      <family val="2"/>
      <scheme val="minor"/>
    </font>
    <font>
      <sz val="10"/>
      <color theme="1"/>
      <name val="Calibri"/>
      <family val="2"/>
      <scheme val="minor"/>
    </font>
    <font>
      <b/>
      <sz val="11"/>
      <color rgb="FFFF0000"/>
      <name val="Calibri"/>
      <family val="2"/>
      <scheme val="minor"/>
    </font>
    <font>
      <sz val="12"/>
      <color rgb="FF7030A0"/>
      <name val="Calibri"/>
      <family val="2"/>
      <scheme val="minor"/>
    </font>
    <font>
      <i/>
      <sz val="12"/>
      <color theme="1"/>
      <name val="Calibri"/>
      <family val="2"/>
      <scheme val="minor"/>
    </font>
    <font>
      <b/>
      <sz val="28"/>
      <color rgb="FF7030A0"/>
      <name val="Arial Narrow"/>
      <family val="2"/>
    </font>
    <font>
      <b/>
      <sz val="16"/>
      <name val="Calibri"/>
      <family val="2"/>
      <scheme val="minor"/>
    </font>
    <font>
      <sz val="16"/>
      <color theme="1"/>
      <name val="Calibri"/>
      <family val="2"/>
      <scheme val="minor"/>
    </font>
    <font>
      <b/>
      <sz val="15"/>
      <color theme="1"/>
      <name val="Calibri"/>
      <family val="2"/>
      <scheme val="minor"/>
    </font>
    <font>
      <b/>
      <sz val="15"/>
      <name val="Calibri"/>
      <family val="2"/>
      <scheme val="minor"/>
    </font>
    <font>
      <sz val="15"/>
      <color theme="1"/>
      <name val="Calibri"/>
      <family val="2"/>
      <scheme val="minor"/>
    </font>
    <font>
      <sz val="15"/>
      <name val="Calibri"/>
      <family val="2"/>
      <scheme val="minor"/>
    </font>
    <font>
      <sz val="15"/>
      <color rgb="FF000000"/>
      <name val="Thorndale AMT"/>
      <family val="1"/>
    </font>
    <font>
      <sz val="16"/>
      <color theme="0"/>
      <name val="Calibri"/>
      <family val="2"/>
      <scheme val="minor"/>
    </font>
    <font>
      <sz val="16"/>
      <color theme="2" tint="-0.89999084444715716"/>
      <name val="Calibri"/>
      <family val="2"/>
      <scheme val="minor"/>
    </font>
    <font>
      <b/>
      <i/>
      <sz val="16"/>
      <color theme="1"/>
      <name val="Calibri"/>
      <family val="2"/>
      <scheme val="minor"/>
    </font>
    <font>
      <sz val="10"/>
      <name val="Arial"/>
      <family val="2"/>
    </font>
    <font>
      <sz val="12"/>
      <color theme="0"/>
      <name val="Calibri"/>
      <family val="2"/>
      <scheme val="minor"/>
    </font>
    <font>
      <b/>
      <sz val="16"/>
      <color theme="0"/>
      <name val="Calibri"/>
      <family val="2"/>
      <scheme val="minor"/>
    </font>
    <font>
      <b/>
      <sz val="36"/>
      <color rgb="FF7030A0"/>
      <name val="Arial Narrow"/>
      <family val="2"/>
    </font>
    <font>
      <sz val="20"/>
      <color theme="1"/>
      <name val="Calibri"/>
      <family val="2"/>
      <scheme val="minor"/>
    </font>
    <font>
      <i/>
      <sz val="20"/>
      <color theme="1"/>
      <name val="Calibri"/>
      <family val="2"/>
      <scheme val="minor"/>
    </font>
    <font>
      <b/>
      <sz val="24"/>
      <color rgb="FF7030A0"/>
      <name val="Arial Narrow"/>
      <family val="2"/>
    </font>
    <font>
      <b/>
      <sz val="16"/>
      <color rgb="FF7030A0"/>
      <name val="Calibri"/>
      <family val="2"/>
      <scheme val="minor"/>
    </font>
    <font>
      <b/>
      <vertAlign val="superscript"/>
      <sz val="28"/>
      <color rgb="FF7030A0"/>
      <name val="Calibri"/>
      <family val="2"/>
    </font>
    <font>
      <b/>
      <sz val="16"/>
      <color rgb="FF7030A0"/>
      <name val="Calibri"/>
      <family val="2"/>
    </font>
    <font>
      <b/>
      <sz val="12"/>
      <color rgb="FF7030A0"/>
      <name val="Calibri"/>
      <family val="2"/>
      <scheme val="minor"/>
    </font>
    <font>
      <sz val="16"/>
      <color rgb="FF7030A0"/>
      <name val="Calibri"/>
      <family val="2"/>
      <scheme val="minor"/>
    </font>
    <font>
      <sz val="14"/>
      <color rgb="FF7030A0"/>
      <name val="Calibri"/>
      <family val="2"/>
      <scheme val="minor"/>
    </font>
    <font>
      <sz val="12"/>
      <name val="Calibri"/>
      <family val="2"/>
      <scheme val="minor"/>
    </font>
    <font>
      <b/>
      <sz val="16"/>
      <color rgb="FFFF0000"/>
      <name val="Calibri"/>
      <family val="2"/>
      <scheme val="minor"/>
    </font>
    <font>
      <sz val="16"/>
      <color rgb="FFFF0000"/>
      <name val="Calibri"/>
      <family val="2"/>
      <scheme val="minor"/>
    </font>
  </fonts>
  <fills count="14">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rgb="FFD3CAF3"/>
        <bgColor indexed="64"/>
      </patternFill>
    </fill>
    <fill>
      <patternFill patternType="solid">
        <fgColor rgb="FFFFFF00"/>
        <bgColor indexed="64"/>
      </patternFill>
    </fill>
    <fill>
      <patternFill patternType="solid">
        <fgColor theme="5" tint="0.59999389629810485"/>
        <bgColor indexed="64"/>
      </patternFill>
    </fill>
    <fill>
      <patternFill patternType="solid">
        <fgColor theme="0"/>
        <bgColor indexed="64"/>
      </patternFill>
    </fill>
    <fill>
      <patternFill patternType="solid">
        <fgColor rgb="FFFFFF99"/>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s>
  <borders count="26">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6">
    <xf numFmtId="0" fontId="0"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27" fillId="0" borderId="0"/>
    <xf numFmtId="9" fontId="27" fillId="0" borderId="0" applyFont="0" applyFill="0" applyBorder="0" applyAlignment="0" applyProtection="0"/>
  </cellStyleXfs>
  <cellXfs count="316">
    <xf numFmtId="0" fontId="0" fillId="0" borderId="0" xfId="0"/>
    <xf numFmtId="0" fontId="0" fillId="0" borderId="1" xfId="0" applyBorder="1"/>
    <xf numFmtId="0" fontId="2" fillId="0" borderId="0" xfId="0" applyFont="1"/>
    <xf numFmtId="1" fontId="0" fillId="0" borderId="0" xfId="0" applyNumberFormat="1" applyAlignment="1">
      <alignment horizontal="center"/>
    </xf>
    <xf numFmtId="3" fontId="0" fillId="0" borderId="0" xfId="0" applyNumberFormat="1" applyAlignment="1">
      <alignment horizontal="center"/>
    </xf>
    <xf numFmtId="0" fontId="0" fillId="0" borderId="0" xfId="0" applyAlignment="1">
      <alignment horizontal="center"/>
    </xf>
    <xf numFmtId="165" fontId="0" fillId="0" borderId="0" xfId="0" applyNumberFormat="1" applyAlignment="1">
      <alignment horizontal="center"/>
    </xf>
    <xf numFmtId="2" fontId="0" fillId="0" borderId="0" xfId="0" applyNumberFormat="1" applyAlignment="1">
      <alignment horizontal="center"/>
    </xf>
    <xf numFmtId="0" fontId="2" fillId="0" borderId="0" xfId="0" applyFont="1" applyAlignment="1">
      <alignment horizontal="center"/>
    </xf>
    <xf numFmtId="1" fontId="2" fillId="0" borderId="0" xfId="0" applyNumberFormat="1" applyFont="1" applyAlignment="1">
      <alignment horizontal="center"/>
    </xf>
    <xf numFmtId="2" fontId="0" fillId="0" borderId="0" xfId="0" applyNumberFormat="1"/>
    <xf numFmtId="165" fontId="0" fillId="0" borderId="0" xfId="0" applyNumberFormat="1"/>
    <xf numFmtId="2" fontId="0" fillId="0" borderId="3" xfId="0" applyNumberFormat="1" applyBorder="1"/>
    <xf numFmtId="0" fontId="0" fillId="0" borderId="3" xfId="0" applyBorder="1"/>
    <xf numFmtId="2" fontId="0" fillId="0" borderId="0" xfId="0" applyNumberFormat="1" applyBorder="1"/>
    <xf numFmtId="165" fontId="0" fillId="0" borderId="0" xfId="0" applyNumberFormat="1" applyBorder="1"/>
    <xf numFmtId="2" fontId="0" fillId="0" borderId="1" xfId="0" applyNumberFormat="1" applyBorder="1"/>
    <xf numFmtId="0" fontId="0" fillId="0" borderId="0" xfId="0" applyBorder="1"/>
    <xf numFmtId="0" fontId="2" fillId="0" borderId="0" xfId="0" applyFont="1" applyBorder="1"/>
    <xf numFmtId="0" fontId="2" fillId="0" borderId="1" xfId="0" applyFont="1" applyBorder="1"/>
    <xf numFmtId="2" fontId="0" fillId="0" borderId="1" xfId="0" applyNumberFormat="1" applyBorder="1" applyAlignment="1">
      <alignment horizontal="center"/>
    </xf>
    <xf numFmtId="165" fontId="2" fillId="5" borderId="0" xfId="0" applyNumberFormat="1" applyFont="1" applyFill="1" applyAlignment="1">
      <alignment horizontal="center"/>
    </xf>
    <xf numFmtId="165" fontId="0" fillId="5" borderId="0" xfId="0" applyNumberFormat="1" applyFill="1" applyAlignment="1">
      <alignment horizontal="center"/>
    </xf>
    <xf numFmtId="1" fontId="0" fillId="0" borderId="0" xfId="0" applyNumberFormat="1"/>
    <xf numFmtId="169" fontId="0" fillId="0" borderId="0" xfId="0" applyNumberFormat="1"/>
    <xf numFmtId="165" fontId="0" fillId="6" borderId="0" xfId="0" applyNumberFormat="1" applyFill="1" applyAlignment="1">
      <alignment horizontal="center"/>
    </xf>
    <xf numFmtId="169" fontId="0" fillId="0" borderId="0" xfId="0" applyNumberFormat="1" applyBorder="1"/>
    <xf numFmtId="0" fontId="5" fillId="0" borderId="0" xfId="0" applyFont="1"/>
    <xf numFmtId="0" fontId="0" fillId="0" borderId="0" xfId="0" applyFill="1"/>
    <xf numFmtId="0" fontId="0" fillId="0" borderId="7" xfId="0" applyBorder="1"/>
    <xf numFmtId="1" fontId="0" fillId="0" borderId="8" xfId="0" applyNumberFormat="1" applyBorder="1" applyAlignment="1">
      <alignment horizontal="center"/>
    </xf>
    <xf numFmtId="0" fontId="0" fillId="0" borderId="0" xfId="0" applyBorder="1" applyAlignment="1">
      <alignment horizontal="center"/>
    </xf>
    <xf numFmtId="0" fontId="0" fillId="0" borderId="9" xfId="0" applyBorder="1"/>
    <xf numFmtId="0" fontId="0" fillId="0" borderId="8" xfId="0" applyBorder="1"/>
    <xf numFmtId="0" fontId="0" fillId="0" borderId="8" xfId="0" applyBorder="1" applyAlignment="1">
      <alignment horizontal="center"/>
    </xf>
    <xf numFmtId="2" fontId="0" fillId="0" borderId="9" xfId="0" applyNumberFormat="1" applyBorder="1" applyAlignment="1">
      <alignment horizontal="center"/>
    </xf>
    <xf numFmtId="1" fontId="0" fillId="0" borderId="0" xfId="0" applyNumberFormat="1" applyBorder="1" applyAlignment="1">
      <alignment horizontal="center"/>
    </xf>
    <xf numFmtId="1" fontId="0" fillId="0" borderId="10" xfId="0" applyNumberFormat="1" applyBorder="1" applyAlignment="1">
      <alignment horizontal="center"/>
    </xf>
    <xf numFmtId="0" fontId="0" fillId="0" borderId="5" xfId="0" applyBorder="1" applyAlignment="1">
      <alignment horizontal="center"/>
    </xf>
    <xf numFmtId="1" fontId="0" fillId="0" borderId="5" xfId="0" applyNumberFormat="1" applyBorder="1" applyAlignment="1">
      <alignment horizontal="center"/>
    </xf>
    <xf numFmtId="0" fontId="0" fillId="0" borderId="9" xfId="0" applyBorder="1" applyAlignment="1">
      <alignment horizontal="center"/>
    </xf>
    <xf numFmtId="0" fontId="0" fillId="6" borderId="0" xfId="0" applyFill="1" applyBorder="1" applyAlignment="1">
      <alignment horizontal="center"/>
    </xf>
    <xf numFmtId="165" fontId="0" fillId="6" borderId="0" xfId="0" applyNumberFormat="1" applyFill="1" applyBorder="1" applyAlignment="1">
      <alignment horizontal="center"/>
    </xf>
    <xf numFmtId="2" fontId="2" fillId="0" borderId="0" xfId="0" applyNumberFormat="1" applyFont="1" applyAlignment="1">
      <alignment horizontal="center"/>
    </xf>
    <xf numFmtId="2" fontId="0" fillId="0" borderId="5" xfId="0" applyNumberFormat="1" applyBorder="1" applyAlignment="1">
      <alignment horizontal="center"/>
    </xf>
    <xf numFmtId="2" fontId="0" fillId="0" borderId="0" xfId="0" applyNumberFormat="1" applyFill="1"/>
    <xf numFmtId="0" fontId="0" fillId="0" borderId="0" xfId="0" applyFill="1" applyBorder="1"/>
    <xf numFmtId="0" fontId="0" fillId="0" borderId="0" xfId="0" applyAlignment="1">
      <alignment horizontal="center" wrapText="1"/>
    </xf>
    <xf numFmtId="0" fontId="4" fillId="0" borderId="0" xfId="0" applyFont="1" applyAlignment="1">
      <alignment horizontal="center" wrapText="1"/>
    </xf>
    <xf numFmtId="165" fontId="0" fillId="0" borderId="0" xfId="0" applyNumberFormat="1" applyAlignment="1">
      <alignment horizontal="center" wrapText="1"/>
    </xf>
    <xf numFmtId="165" fontId="4" fillId="0" borderId="0" xfId="0" applyNumberFormat="1" applyFont="1" applyAlignment="1">
      <alignment horizontal="center" wrapText="1"/>
    </xf>
    <xf numFmtId="167" fontId="4" fillId="0" borderId="0" xfId="1" applyNumberFormat="1" applyFont="1" applyAlignment="1">
      <alignment horizontal="center" wrapText="1"/>
    </xf>
    <xf numFmtId="0" fontId="0" fillId="0" borderId="0" xfId="0" applyAlignment="1">
      <alignment horizontal="left"/>
    </xf>
    <xf numFmtId="168" fontId="2" fillId="0" borderId="0" xfId="0" applyNumberFormat="1" applyFont="1" applyAlignment="1">
      <alignment horizontal="center"/>
    </xf>
    <xf numFmtId="0" fontId="0" fillId="0" borderId="0" xfId="0" applyAlignment="1">
      <alignment horizontal="center" vertical="center"/>
    </xf>
    <xf numFmtId="0" fontId="2" fillId="0" borderId="0" xfId="0" applyFont="1" applyAlignment="1">
      <alignment horizontal="center" vertical="center"/>
    </xf>
    <xf numFmtId="0" fontId="2" fillId="0" borderId="0" xfId="0" applyFont="1" applyBorder="1" applyAlignment="1">
      <alignment horizontal="center" vertical="center"/>
    </xf>
    <xf numFmtId="0" fontId="0" fillId="7" borderId="0" xfId="0" applyFill="1"/>
    <xf numFmtId="170" fontId="0" fillId="7" borderId="0" xfId="3" applyNumberFormat="1" applyFont="1" applyFill="1" applyBorder="1" applyAlignment="1">
      <alignment horizontal="left" vertical="center"/>
    </xf>
    <xf numFmtId="0" fontId="3" fillId="7" borderId="0" xfId="0" applyFont="1" applyFill="1" applyAlignment="1">
      <alignment vertical="center"/>
    </xf>
    <xf numFmtId="1" fontId="0" fillId="0" borderId="1" xfId="0" applyNumberFormat="1" applyBorder="1" applyAlignment="1">
      <alignment horizontal="center"/>
    </xf>
    <xf numFmtId="0" fontId="0" fillId="6" borderId="1" xfId="0" applyFill="1" applyBorder="1" applyAlignment="1">
      <alignment horizontal="center"/>
    </xf>
    <xf numFmtId="0" fontId="2" fillId="0" borderId="1" xfId="0" applyFont="1" applyFill="1" applyBorder="1"/>
    <xf numFmtId="165" fontId="0" fillId="6" borderId="1" xfId="0" applyNumberFormat="1" applyFill="1" applyBorder="1" applyAlignment="1">
      <alignment horizontal="center"/>
    </xf>
    <xf numFmtId="2" fontId="0" fillId="0" borderId="11" xfId="0" applyNumberFormat="1" applyBorder="1" applyAlignment="1">
      <alignment horizontal="center"/>
    </xf>
    <xf numFmtId="0" fontId="0" fillId="0" borderId="0" xfId="0" applyAlignment="1">
      <alignment horizontal="center" vertical="center"/>
    </xf>
    <xf numFmtId="0" fontId="4" fillId="0" borderId="0" xfId="0" applyFont="1" applyAlignment="1">
      <alignment horizontal="center" vertical="center" wrapText="1"/>
    </xf>
    <xf numFmtId="0" fontId="0" fillId="0" borderId="0" xfId="0" applyAlignment="1">
      <alignment horizontal="center" vertical="center" wrapText="1"/>
    </xf>
    <xf numFmtId="2" fontId="0" fillId="0" borderId="0" xfId="0" applyNumberFormat="1" applyAlignment="1">
      <alignment horizontal="center"/>
    </xf>
    <xf numFmtId="0" fontId="0" fillId="0" borderId="0" xfId="0" applyFill="1" applyBorder="1" applyAlignment="1"/>
    <xf numFmtId="0" fontId="0" fillId="0" borderId="1" xfId="0" applyFill="1" applyBorder="1" applyAlignment="1"/>
    <xf numFmtId="0" fontId="15" fillId="0" borderId="17" xfId="0" applyFont="1" applyFill="1" applyBorder="1" applyAlignment="1">
      <alignment horizontal="center"/>
    </xf>
    <xf numFmtId="0" fontId="15" fillId="0" borderId="17" xfId="0" applyFont="1" applyFill="1" applyBorder="1" applyAlignment="1">
      <alignment horizontal="centerContinuous"/>
    </xf>
    <xf numFmtId="2" fontId="0" fillId="7" borderId="2" xfId="0" applyNumberFormat="1" applyFill="1" applyBorder="1" applyAlignment="1">
      <alignment horizontal="center" vertical="center"/>
    </xf>
    <xf numFmtId="2" fontId="0" fillId="0" borderId="0" xfId="0" applyNumberFormat="1" applyAlignment="1">
      <alignment horizontal="center"/>
    </xf>
    <xf numFmtId="0" fontId="2" fillId="0" borderId="0" xfId="0" applyFont="1" applyAlignment="1">
      <alignment horizontal="center"/>
    </xf>
    <xf numFmtId="0" fontId="0" fillId="0" borderId="0" xfId="0" applyAlignment="1">
      <alignment horizontal="center" vertical="center"/>
    </xf>
    <xf numFmtId="0" fontId="4" fillId="0" borderId="0" xfId="0" applyFont="1" applyAlignment="1">
      <alignment horizontal="center" vertical="center" wrapText="1"/>
    </xf>
    <xf numFmtId="0" fontId="0" fillId="0" borderId="0" xfId="0" applyAlignment="1">
      <alignment horizontal="center" vertical="center" wrapText="1"/>
    </xf>
    <xf numFmtId="0" fontId="2" fillId="0" borderId="0" xfId="0" applyFont="1" applyBorder="1" applyAlignment="1">
      <alignment horizontal="center" vertical="center"/>
    </xf>
    <xf numFmtId="0" fontId="2" fillId="0" borderId="0" xfId="0" applyFont="1" applyAlignment="1">
      <alignment horizontal="center" vertical="center"/>
    </xf>
    <xf numFmtId="0" fontId="16" fillId="7" borderId="0" xfId="0" applyFont="1" applyFill="1" applyAlignment="1">
      <alignment vertical="center"/>
    </xf>
    <xf numFmtId="0" fontId="20" fillId="3" borderId="13" xfId="0" applyFont="1" applyFill="1" applyBorder="1" applyAlignment="1">
      <alignment horizontal="center" vertical="center" wrapText="1"/>
    </xf>
    <xf numFmtId="0" fontId="19" fillId="3" borderId="1" xfId="0" applyFont="1" applyFill="1" applyBorder="1" applyAlignment="1">
      <alignment horizontal="center" vertical="center"/>
    </xf>
    <xf numFmtId="0" fontId="20" fillId="3" borderId="1" xfId="0" applyFont="1" applyFill="1" applyBorder="1" applyAlignment="1">
      <alignment horizontal="center" vertical="center" wrapText="1"/>
    </xf>
    <xf numFmtId="0" fontId="19" fillId="3" borderId="13" xfId="0" applyFont="1" applyFill="1" applyBorder="1" applyAlignment="1">
      <alignment horizontal="center" vertical="center"/>
    </xf>
    <xf numFmtId="0" fontId="21" fillId="3" borderId="0" xfId="0" applyFont="1" applyFill="1" applyAlignment="1">
      <alignment horizontal="left" vertical="center"/>
    </xf>
    <xf numFmtId="2" fontId="21" fillId="3" borderId="0" xfId="0" applyNumberFormat="1" applyFont="1" applyFill="1" applyAlignment="1">
      <alignment vertical="center"/>
    </xf>
    <xf numFmtId="0" fontId="10" fillId="7" borderId="0" xfId="0" applyFont="1" applyFill="1" applyBorder="1" applyAlignment="1">
      <alignment horizontal="center" vertical="center"/>
    </xf>
    <xf numFmtId="2" fontId="10" fillId="7" borderId="0" xfId="0" applyNumberFormat="1" applyFont="1" applyFill="1" applyBorder="1" applyAlignment="1">
      <alignment horizontal="center" vertical="center"/>
    </xf>
    <xf numFmtId="2" fontId="10" fillId="7" borderId="1" xfId="0" applyNumberFormat="1" applyFont="1" applyFill="1" applyBorder="1" applyAlignment="1">
      <alignment horizontal="center" vertical="center"/>
    </xf>
    <xf numFmtId="2" fontId="0" fillId="0" borderId="0" xfId="0" applyNumberFormat="1" applyFont="1" applyAlignment="1">
      <alignment horizontal="center"/>
    </xf>
    <xf numFmtId="2" fontId="0" fillId="0" borderId="0" xfId="0" applyNumberFormat="1" applyAlignment="1">
      <alignment horizontal="center" vertical="center"/>
    </xf>
    <xf numFmtId="168" fontId="0" fillId="0" borderId="0" xfId="0" applyNumberFormat="1" applyFont="1" applyAlignment="1">
      <alignment horizontal="center"/>
    </xf>
    <xf numFmtId="171" fontId="0" fillId="0" borderId="0" xfId="0" applyNumberFormat="1"/>
    <xf numFmtId="2" fontId="0" fillId="0" borderId="0" xfId="0" applyNumberFormat="1" applyAlignment="1">
      <alignment horizontal="center"/>
    </xf>
    <xf numFmtId="0" fontId="0" fillId="9" borderId="0" xfId="0" applyFill="1"/>
    <xf numFmtId="165" fontId="0" fillId="9" borderId="0" xfId="0" applyNumberFormat="1" applyFill="1" applyAlignment="1">
      <alignment horizontal="center"/>
    </xf>
    <xf numFmtId="2" fontId="0" fillId="9" borderId="0" xfId="0" applyNumberFormat="1" applyFill="1" applyAlignment="1">
      <alignment horizontal="center"/>
    </xf>
    <xf numFmtId="0" fontId="0" fillId="10" borderId="0" xfId="0" applyFill="1"/>
    <xf numFmtId="0" fontId="0" fillId="11" borderId="0" xfId="0" applyFill="1"/>
    <xf numFmtId="2" fontId="0" fillId="11" borderId="0" xfId="0" applyNumberFormat="1" applyFill="1" applyAlignment="1">
      <alignment horizontal="center" vertical="center"/>
    </xf>
    <xf numFmtId="165" fontId="2" fillId="4" borderId="0" xfId="0" applyNumberFormat="1" applyFont="1" applyFill="1" applyAlignment="1">
      <alignment horizontal="center" vertical="center"/>
    </xf>
    <xf numFmtId="165" fontId="0" fillId="10" borderId="0" xfId="0" applyNumberFormat="1" applyFill="1" applyAlignment="1">
      <alignment horizontal="center"/>
    </xf>
    <xf numFmtId="2" fontId="0" fillId="10" borderId="0" xfId="0" applyNumberFormat="1" applyFill="1" applyAlignment="1">
      <alignment horizontal="center"/>
    </xf>
    <xf numFmtId="0" fontId="2" fillId="9" borderId="0" xfId="0" applyFont="1" applyFill="1"/>
    <xf numFmtId="0" fontId="2" fillId="10" borderId="0" xfId="0" applyFont="1" applyFill="1"/>
    <xf numFmtId="2" fontId="0" fillId="11" borderId="0" xfId="0" applyNumberFormat="1" applyFill="1" applyAlignment="1">
      <alignment horizontal="center"/>
    </xf>
    <xf numFmtId="2" fontId="0" fillId="7" borderId="0" xfId="0" applyNumberFormat="1" applyFill="1" applyBorder="1" applyAlignment="1">
      <alignment horizontal="center" vertical="center"/>
    </xf>
    <xf numFmtId="37" fontId="18" fillId="7" borderId="0" xfId="3" applyNumberFormat="1" applyFont="1" applyFill="1" applyBorder="1" applyAlignment="1" applyProtection="1">
      <alignment horizontal="center" vertical="center"/>
      <protection locked="0"/>
    </xf>
    <xf numFmtId="2" fontId="10" fillId="7" borderId="9" xfId="0" applyNumberFormat="1" applyFont="1" applyFill="1" applyBorder="1" applyAlignment="1">
      <alignment horizontal="center" vertical="center"/>
    </xf>
    <xf numFmtId="2" fontId="10" fillId="7" borderId="11" xfId="0" applyNumberFormat="1" applyFont="1" applyFill="1" applyBorder="1" applyAlignment="1">
      <alignment horizontal="center" vertical="center"/>
    </xf>
    <xf numFmtId="0" fontId="30" fillId="7" borderId="0" xfId="0" applyFont="1" applyFill="1" applyBorder="1" applyAlignment="1">
      <alignment vertical="center"/>
    </xf>
    <xf numFmtId="164" fontId="10" fillId="7" borderId="9" xfId="0" applyNumberFormat="1" applyFont="1" applyFill="1" applyBorder="1" applyAlignment="1">
      <alignment horizontal="center" vertical="center"/>
    </xf>
    <xf numFmtId="164" fontId="10" fillId="7" borderId="11" xfId="0" applyNumberFormat="1" applyFont="1" applyFill="1" applyBorder="1" applyAlignment="1">
      <alignment horizontal="center" vertical="center"/>
    </xf>
    <xf numFmtId="10" fontId="10" fillId="7" borderId="9" xfId="1" applyNumberFormat="1" applyFont="1" applyFill="1" applyBorder="1" applyAlignment="1">
      <alignment horizontal="center" vertical="center"/>
    </xf>
    <xf numFmtId="10" fontId="10" fillId="7" borderId="11" xfId="1" applyNumberFormat="1" applyFont="1" applyFill="1" applyBorder="1" applyAlignment="1">
      <alignment horizontal="center" vertical="center"/>
    </xf>
    <xf numFmtId="0" fontId="17" fillId="7" borderId="21" xfId="0" applyFont="1" applyFill="1" applyBorder="1" applyAlignment="1">
      <alignment horizontal="center" vertical="center" wrapText="1"/>
    </xf>
    <xf numFmtId="1" fontId="18" fillId="0" borderId="2" xfId="0" applyNumberFormat="1" applyFont="1" applyBorder="1" applyAlignment="1">
      <alignment horizontal="center" vertical="center"/>
    </xf>
    <xf numFmtId="1" fontId="18" fillId="8" borderId="2" xfId="0" applyNumberFormat="1" applyFont="1" applyFill="1" applyBorder="1" applyAlignment="1" applyProtection="1">
      <alignment horizontal="center" vertical="center"/>
      <protection locked="0"/>
    </xf>
    <xf numFmtId="0" fontId="0" fillId="0" borderId="0" xfId="0" applyAlignment="1">
      <alignment vertical="center"/>
    </xf>
    <xf numFmtId="0" fontId="0" fillId="7" borderId="0" xfId="0" applyFill="1" applyAlignment="1">
      <alignment vertical="center"/>
    </xf>
    <xf numFmtId="0" fontId="10" fillId="0" borderId="1" xfId="0" applyFont="1" applyBorder="1" applyAlignment="1">
      <alignment vertical="center"/>
    </xf>
    <xf numFmtId="0" fontId="9" fillId="0" borderId="1" xfId="0" applyFont="1" applyBorder="1" applyAlignment="1">
      <alignment vertical="center"/>
    </xf>
    <xf numFmtId="0" fontId="9" fillId="7" borderId="1" xfId="0" applyFont="1" applyFill="1" applyBorder="1" applyAlignment="1">
      <alignment vertical="center"/>
    </xf>
    <xf numFmtId="0" fontId="5" fillId="7" borderId="1" xfId="0" applyFont="1" applyFill="1" applyBorder="1" applyAlignment="1">
      <alignment vertical="center"/>
    </xf>
    <xf numFmtId="0" fontId="0" fillId="7" borderId="1" xfId="0" applyFill="1" applyBorder="1" applyAlignment="1">
      <alignment vertical="center"/>
    </xf>
    <xf numFmtId="0" fontId="0" fillId="7" borderId="0" xfId="0" applyFill="1" applyBorder="1" applyAlignment="1">
      <alignment vertical="center"/>
    </xf>
    <xf numFmtId="1" fontId="0" fillId="7" borderId="0" xfId="0" applyNumberFormat="1" applyFill="1" applyAlignment="1">
      <alignment vertical="center"/>
    </xf>
    <xf numFmtId="0" fontId="5" fillId="7" borderId="0" xfId="0" applyFont="1" applyFill="1" applyAlignment="1">
      <alignment vertical="center"/>
    </xf>
    <xf numFmtId="0" fontId="18" fillId="8" borderId="2" xfId="0" applyFont="1" applyFill="1" applyBorder="1" applyAlignment="1" applyProtection="1">
      <alignment horizontal="center" vertical="center"/>
      <protection locked="0"/>
    </xf>
    <xf numFmtId="164" fontId="18" fillId="8" borderId="2" xfId="0" applyNumberFormat="1" applyFont="1" applyFill="1" applyBorder="1" applyAlignment="1" applyProtection="1">
      <alignment horizontal="center" vertical="center"/>
      <protection locked="0"/>
    </xf>
    <xf numFmtId="0" fontId="6" fillId="7" borderId="0" xfId="0" applyFont="1" applyFill="1" applyAlignment="1">
      <alignment vertical="center"/>
    </xf>
    <xf numFmtId="0" fontId="0" fillId="7" borderId="2" xfId="0" applyFill="1" applyBorder="1" applyAlignment="1">
      <alignment vertical="center"/>
    </xf>
    <xf numFmtId="164" fontId="18" fillId="8" borderId="2" xfId="2" applyNumberFormat="1" applyFont="1" applyFill="1" applyBorder="1" applyAlignment="1" applyProtection="1">
      <alignment horizontal="center" vertical="center"/>
      <protection locked="0"/>
    </xf>
    <xf numFmtId="0" fontId="31" fillId="7" borderId="0" xfId="0" applyFont="1" applyFill="1" applyAlignment="1">
      <alignment vertical="center"/>
    </xf>
    <xf numFmtId="0" fontId="32" fillId="7" borderId="0" xfId="0" applyFont="1" applyFill="1" applyAlignment="1">
      <alignment vertical="center"/>
    </xf>
    <xf numFmtId="0" fontId="25" fillId="8" borderId="2" xfId="1" applyNumberFormat="1" applyFont="1" applyFill="1" applyBorder="1" applyAlignment="1" applyProtection="1">
      <alignment horizontal="center" vertical="center"/>
      <protection locked="0"/>
    </xf>
    <xf numFmtId="164" fontId="24" fillId="7" borderId="0" xfId="0" applyNumberFormat="1" applyFont="1" applyFill="1" applyBorder="1" applyAlignment="1" applyProtection="1">
      <alignment horizontal="center" vertical="center"/>
      <protection locked="0"/>
    </xf>
    <xf numFmtId="0" fontId="10" fillId="7" borderId="18" xfId="0" applyFont="1" applyFill="1" applyBorder="1" applyAlignment="1">
      <alignment horizontal="center" vertical="center"/>
    </xf>
    <xf numFmtId="0" fontId="17" fillId="7" borderId="18" xfId="0" applyFont="1" applyFill="1" applyBorder="1" applyAlignment="1">
      <alignment horizontal="center" vertical="center" wrapText="1"/>
    </xf>
    <xf numFmtId="0" fontId="0" fillId="7" borderId="0" xfId="0" applyFill="1" applyAlignment="1" applyProtection="1">
      <alignment vertical="center"/>
      <protection hidden="1"/>
    </xf>
    <xf numFmtId="0" fontId="10" fillId="7" borderId="21" xfId="0" applyFont="1" applyFill="1" applyBorder="1" applyAlignment="1">
      <alignment horizontal="center" vertical="center"/>
    </xf>
    <xf numFmtId="0" fontId="8" fillId="7" borderId="0" xfId="0" applyFont="1" applyFill="1" applyAlignment="1">
      <alignment horizontal="center" vertical="center"/>
    </xf>
    <xf numFmtId="0" fontId="7" fillId="7" borderId="2" xfId="0" applyFont="1" applyFill="1" applyBorder="1" applyAlignment="1">
      <alignment vertical="center"/>
    </xf>
    <xf numFmtId="3" fontId="18" fillId="8" borderId="2" xfId="0" applyNumberFormat="1" applyFont="1" applyFill="1" applyBorder="1" applyAlignment="1" applyProtection="1">
      <alignment horizontal="center" vertical="center"/>
      <protection locked="0"/>
    </xf>
    <xf numFmtId="2" fontId="18" fillId="8" borderId="2" xfId="0" applyNumberFormat="1" applyFont="1" applyFill="1" applyBorder="1" applyAlignment="1" applyProtection="1">
      <alignment horizontal="center" vertical="center"/>
      <protection locked="0"/>
    </xf>
    <xf numFmtId="2" fontId="10" fillId="4" borderId="2" xfId="0" applyNumberFormat="1" applyFont="1" applyFill="1" applyBorder="1" applyAlignment="1">
      <alignment horizontal="center" vertical="center"/>
    </xf>
    <xf numFmtId="164" fontId="18" fillId="8" borderId="18" xfId="0" applyNumberFormat="1" applyFont="1" applyFill="1" applyBorder="1" applyAlignment="1" applyProtection="1">
      <alignment horizontal="center" vertical="center"/>
      <protection locked="0"/>
    </xf>
    <xf numFmtId="2" fontId="8" fillId="7" borderId="2" xfId="0" applyNumberFormat="1" applyFont="1" applyFill="1" applyBorder="1" applyAlignment="1">
      <alignment horizontal="center" vertical="center"/>
    </xf>
    <xf numFmtId="2" fontId="8" fillId="7" borderId="0" xfId="0" applyNumberFormat="1" applyFont="1" applyFill="1" applyBorder="1" applyAlignment="1">
      <alignment horizontal="center" vertical="center"/>
    </xf>
    <xf numFmtId="1" fontId="7" fillId="7" borderId="2" xfId="0" applyNumberFormat="1" applyFont="1" applyFill="1" applyBorder="1" applyAlignment="1">
      <alignment vertical="center"/>
    </xf>
    <xf numFmtId="0" fontId="0" fillId="7" borderId="4" xfId="0" applyFill="1" applyBorder="1" applyAlignment="1">
      <alignment vertical="center"/>
    </xf>
    <xf numFmtId="165" fontId="7" fillId="7" borderId="2" xfId="0" applyNumberFormat="1" applyFont="1" applyFill="1" applyBorder="1" applyAlignment="1">
      <alignment vertical="center"/>
    </xf>
    <xf numFmtId="0" fontId="0" fillId="7" borderId="2" xfId="0" applyFill="1" applyBorder="1" applyAlignment="1">
      <alignment horizontal="center" vertical="center"/>
    </xf>
    <xf numFmtId="0" fontId="18" fillId="7" borderId="8" xfId="0" applyFont="1" applyFill="1" applyBorder="1" applyAlignment="1">
      <alignment horizontal="left" vertical="center"/>
    </xf>
    <xf numFmtId="0" fontId="18" fillId="7" borderId="0" xfId="0" applyFont="1" applyFill="1" applyBorder="1" applyAlignment="1">
      <alignment horizontal="left" vertical="center"/>
    </xf>
    <xf numFmtId="0" fontId="2" fillId="2" borderId="0" xfId="0" applyFont="1" applyFill="1" applyAlignment="1">
      <alignment horizontal="center" vertical="center"/>
    </xf>
    <xf numFmtId="2" fontId="0" fillId="7" borderId="0" xfId="0" applyNumberFormat="1" applyFill="1" applyAlignment="1">
      <alignment horizontal="center" vertical="center"/>
    </xf>
    <xf numFmtId="0" fontId="18" fillId="7" borderId="10" xfId="0" applyFont="1" applyFill="1" applyBorder="1" applyAlignment="1">
      <alignment horizontal="left" vertical="center"/>
    </xf>
    <xf numFmtId="0" fontId="18" fillId="7" borderId="1" xfId="0" applyFont="1" applyFill="1" applyBorder="1" applyAlignment="1">
      <alignment horizontal="left" vertical="center"/>
    </xf>
    <xf numFmtId="2" fontId="2" fillId="2" borderId="0" xfId="0" applyNumberFormat="1" applyFont="1" applyFill="1" applyAlignment="1">
      <alignment horizontal="center" vertical="center"/>
    </xf>
    <xf numFmtId="0" fontId="0" fillId="7" borderId="0" xfId="0" applyFill="1" applyBorder="1" applyAlignment="1">
      <alignment horizontal="center" vertical="center"/>
    </xf>
    <xf numFmtId="0" fontId="10" fillId="7" borderId="8" xfId="0" applyFont="1" applyFill="1" applyBorder="1" applyAlignment="1">
      <alignment horizontal="left" vertical="center"/>
    </xf>
    <xf numFmtId="0" fontId="10" fillId="7" borderId="0" xfId="0" applyFont="1" applyFill="1" applyBorder="1" applyAlignment="1">
      <alignment horizontal="left" vertical="center"/>
    </xf>
    <xf numFmtId="0" fontId="18" fillId="7" borderId="9" xfId="0" applyFont="1" applyFill="1" applyBorder="1" applyAlignment="1">
      <alignment vertical="center"/>
    </xf>
    <xf numFmtId="0" fontId="10" fillId="7" borderId="1" xfId="0" applyFont="1" applyFill="1" applyBorder="1" applyAlignment="1">
      <alignment horizontal="left" vertical="center"/>
    </xf>
    <xf numFmtId="0" fontId="21" fillId="7" borderId="0" xfId="0" applyFont="1" applyFill="1" applyAlignment="1">
      <alignment vertical="center"/>
    </xf>
    <xf numFmtId="2" fontId="0" fillId="7" borderId="0" xfId="0" applyNumberFormat="1" applyFill="1" applyAlignment="1">
      <alignment vertical="center"/>
    </xf>
    <xf numFmtId="0" fontId="10" fillId="7" borderId="1" xfId="0" applyFont="1" applyFill="1" applyBorder="1" applyAlignment="1">
      <alignment vertical="center"/>
    </xf>
    <xf numFmtId="0" fontId="19" fillId="3" borderId="0" xfId="0" applyFont="1" applyFill="1" applyAlignment="1">
      <alignment vertical="center"/>
    </xf>
    <xf numFmtId="0" fontId="21" fillId="3" borderId="0" xfId="0" applyFont="1" applyFill="1" applyAlignment="1">
      <alignment vertical="center"/>
    </xf>
    <xf numFmtId="167" fontId="21" fillId="3" borderId="0" xfId="0" applyNumberFormat="1" applyFont="1" applyFill="1" applyAlignment="1">
      <alignment horizontal="center" vertical="center"/>
    </xf>
    <xf numFmtId="0" fontId="22" fillId="3" borderId="0" xfId="1" applyNumberFormat="1" applyFont="1" applyFill="1" applyAlignment="1">
      <alignment horizontal="center" vertical="center" wrapText="1"/>
    </xf>
    <xf numFmtId="0" fontId="21" fillId="3" borderId="0" xfId="1" applyNumberFormat="1" applyFont="1" applyFill="1" applyAlignment="1">
      <alignment horizontal="center" vertical="center"/>
    </xf>
    <xf numFmtId="0" fontId="21" fillId="3" borderId="0" xfId="0" applyNumberFormat="1" applyFont="1" applyFill="1" applyAlignment="1">
      <alignment horizontal="center" vertical="center"/>
    </xf>
    <xf numFmtId="0" fontId="21" fillId="3" borderId="0" xfId="0" applyNumberFormat="1" applyFont="1" applyFill="1" applyAlignment="1">
      <alignment vertical="center"/>
    </xf>
    <xf numFmtId="1" fontId="19" fillId="3" borderId="0" xfId="0" applyNumberFormat="1" applyFont="1" applyFill="1" applyAlignment="1">
      <alignment vertical="center"/>
    </xf>
    <xf numFmtId="166" fontId="23" fillId="3" borderId="0" xfId="0" applyNumberFormat="1" applyFont="1" applyFill="1" applyAlignment="1">
      <alignment vertical="center"/>
    </xf>
    <xf numFmtId="167" fontId="22" fillId="3" borderId="0" xfId="1" applyNumberFormat="1" applyFont="1" applyFill="1" applyAlignment="1">
      <alignment horizontal="right" vertical="center"/>
    </xf>
    <xf numFmtId="1" fontId="21" fillId="3" borderId="0" xfId="0" applyNumberFormat="1" applyFont="1" applyFill="1" applyAlignment="1">
      <alignment vertical="center"/>
    </xf>
    <xf numFmtId="2" fontId="22" fillId="3" borderId="0" xfId="1" applyNumberFormat="1" applyFont="1" applyFill="1" applyAlignment="1">
      <alignment horizontal="center" vertical="center"/>
    </xf>
    <xf numFmtId="2" fontId="21" fillId="3" borderId="0" xfId="0" applyNumberFormat="1" applyFont="1" applyFill="1" applyAlignment="1">
      <alignment horizontal="center" vertical="center"/>
    </xf>
    <xf numFmtId="0" fontId="14" fillId="7" borderId="0" xfId="0" applyFont="1" applyFill="1" applyAlignment="1">
      <alignment vertical="center"/>
    </xf>
    <xf numFmtId="0" fontId="21" fillId="3" borderId="0" xfId="0" applyFont="1" applyFill="1" applyBorder="1" applyAlignment="1">
      <alignment vertical="center"/>
    </xf>
    <xf numFmtId="2" fontId="21" fillId="3" borderId="0" xfId="0" applyNumberFormat="1" applyFont="1" applyFill="1" applyBorder="1" applyAlignment="1">
      <alignment horizontal="center" vertical="center"/>
    </xf>
    <xf numFmtId="0" fontId="21" fillId="3" borderId="1" xfId="0" applyFont="1" applyFill="1" applyBorder="1" applyAlignment="1">
      <alignment vertical="center"/>
    </xf>
    <xf numFmtId="2" fontId="22" fillId="3" borderId="1" xfId="1" applyNumberFormat="1" applyFont="1" applyFill="1" applyBorder="1" applyAlignment="1">
      <alignment horizontal="center" vertical="center"/>
    </xf>
    <xf numFmtId="2" fontId="21" fillId="3" borderId="1" xfId="0" applyNumberFormat="1" applyFont="1" applyFill="1" applyBorder="1" applyAlignment="1">
      <alignment horizontal="center" vertical="center"/>
    </xf>
    <xf numFmtId="0" fontId="18" fillId="0" borderId="0" xfId="0" applyFont="1" applyAlignment="1">
      <alignment vertical="center"/>
    </xf>
    <xf numFmtId="0" fontId="38" fillId="0" borderId="0" xfId="0" applyFont="1" applyAlignment="1">
      <alignment vertical="center"/>
    </xf>
    <xf numFmtId="0" fontId="38" fillId="7" borderId="0" xfId="0" applyFont="1" applyFill="1" applyAlignment="1">
      <alignment vertical="center"/>
    </xf>
    <xf numFmtId="0" fontId="18" fillId="7" borderId="0" xfId="0" applyFont="1" applyFill="1" applyAlignment="1">
      <alignment vertical="center"/>
    </xf>
    <xf numFmtId="0" fontId="14" fillId="0" borderId="0" xfId="0" applyFont="1" applyAlignment="1">
      <alignment vertical="center"/>
    </xf>
    <xf numFmtId="0" fontId="40" fillId="7" borderId="0" xfId="0" applyFont="1" applyFill="1" applyAlignment="1">
      <alignment horizontal="left" vertical="center" wrapText="1"/>
    </xf>
    <xf numFmtId="0" fontId="13" fillId="0" borderId="0" xfId="0" applyFont="1" applyAlignment="1" applyProtection="1">
      <alignment vertical="center"/>
      <protection hidden="1"/>
    </xf>
    <xf numFmtId="2" fontId="0" fillId="0" borderId="0" xfId="1" applyNumberFormat="1" applyFont="1" applyAlignment="1" applyProtection="1">
      <alignment vertical="center"/>
      <protection hidden="1"/>
    </xf>
    <xf numFmtId="0" fontId="0" fillId="0" borderId="0" xfId="0" applyAlignment="1" applyProtection="1">
      <alignment vertical="center"/>
      <protection hidden="1"/>
    </xf>
    <xf numFmtId="2" fontId="0" fillId="0" borderId="0" xfId="0" applyNumberFormat="1" applyAlignment="1" applyProtection="1">
      <alignment vertical="center"/>
      <protection hidden="1"/>
    </xf>
    <xf numFmtId="1" fontId="0" fillId="0" borderId="22" xfId="0" applyNumberFormat="1" applyBorder="1" applyAlignment="1" applyProtection="1">
      <alignment horizontal="center" vertical="center"/>
      <protection hidden="1"/>
    </xf>
    <xf numFmtId="1" fontId="0" fillId="0" borderId="21" xfId="0" applyNumberFormat="1" applyBorder="1" applyAlignment="1" applyProtection="1">
      <alignment horizontal="center" vertical="center"/>
      <protection hidden="1"/>
    </xf>
    <xf numFmtId="0" fontId="0" fillId="0" borderId="23" xfId="0" applyBorder="1" applyAlignment="1" applyProtection="1">
      <alignment horizontal="center" vertical="center"/>
      <protection hidden="1"/>
    </xf>
    <xf numFmtId="1" fontId="0" fillId="0" borderId="24" xfId="0" applyNumberFormat="1" applyBorder="1" applyAlignment="1" applyProtection="1">
      <alignment horizontal="center" vertical="center"/>
      <protection hidden="1"/>
    </xf>
    <xf numFmtId="1" fontId="0" fillId="0" borderId="2" xfId="0" applyNumberFormat="1" applyBorder="1" applyAlignment="1" applyProtection="1">
      <alignment horizontal="center" vertical="center"/>
      <protection hidden="1"/>
    </xf>
    <xf numFmtId="0" fontId="0" fillId="0" borderId="25" xfId="0" applyBorder="1" applyAlignment="1" applyProtection="1">
      <alignment horizontal="center" vertical="center"/>
      <protection hidden="1"/>
    </xf>
    <xf numFmtId="1" fontId="18" fillId="0" borderId="0" xfId="0" applyNumberFormat="1" applyFont="1" applyFill="1" applyBorder="1" applyAlignment="1">
      <alignment horizontal="center" vertical="center"/>
    </xf>
    <xf numFmtId="10" fontId="29" fillId="7" borderId="1" xfId="1" applyNumberFormat="1" applyFont="1" applyFill="1" applyBorder="1" applyAlignment="1">
      <alignment horizontal="center" vertical="center"/>
    </xf>
    <xf numFmtId="10" fontId="41" fillId="7" borderId="9" xfId="1" applyNumberFormat="1" applyFont="1" applyFill="1" applyBorder="1" applyAlignment="1">
      <alignment horizontal="center" vertical="center"/>
    </xf>
    <xf numFmtId="37" fontId="42" fillId="7" borderId="9" xfId="3" applyNumberFormat="1" applyFont="1" applyFill="1" applyBorder="1" applyAlignment="1" applyProtection="1">
      <alignment horizontal="center" vertical="center"/>
      <protection locked="0"/>
    </xf>
    <xf numFmtId="10" fontId="41" fillId="7" borderId="11" xfId="1" applyNumberFormat="1" applyFont="1" applyFill="1" applyBorder="1" applyAlignment="1">
      <alignment horizontal="center" vertical="center"/>
    </xf>
    <xf numFmtId="164" fontId="5" fillId="7" borderId="0" xfId="0" applyNumberFormat="1" applyFont="1" applyFill="1" applyAlignment="1">
      <alignment vertical="center"/>
    </xf>
    <xf numFmtId="0" fontId="0" fillId="0" borderId="0" xfId="0" applyFill="1" applyAlignment="1">
      <alignment vertical="center"/>
    </xf>
    <xf numFmtId="0" fontId="5" fillId="7" borderId="0" xfId="0" applyFont="1" applyFill="1" applyBorder="1" applyAlignment="1">
      <alignment vertical="center"/>
    </xf>
    <xf numFmtId="0" fontId="28" fillId="7" borderId="0" xfId="0" applyFont="1" applyFill="1" applyAlignment="1">
      <alignment vertical="center"/>
    </xf>
    <xf numFmtId="168" fontId="28" fillId="7" borderId="0" xfId="0" applyNumberFormat="1" applyFont="1" applyFill="1" applyAlignment="1">
      <alignment vertical="center"/>
    </xf>
    <xf numFmtId="165" fontId="18" fillId="0" borderId="0" xfId="0" applyNumberFormat="1" applyFont="1" applyFill="1" applyBorder="1" applyAlignment="1" applyProtection="1">
      <alignment horizontal="center" vertical="center"/>
      <protection locked="0"/>
    </xf>
    <xf numFmtId="3" fontId="18" fillId="0" borderId="0" xfId="0" applyNumberFormat="1" applyFont="1" applyFill="1" applyBorder="1" applyAlignment="1" applyProtection="1">
      <alignment horizontal="center" vertical="center"/>
      <protection locked="0"/>
    </xf>
    <xf numFmtId="2" fontId="18" fillId="0" borderId="0" xfId="0" applyNumberFormat="1" applyFont="1" applyFill="1" applyBorder="1" applyAlignment="1" applyProtection="1">
      <alignment horizontal="center" vertical="center"/>
      <protection locked="0"/>
    </xf>
    <xf numFmtId="164" fontId="18" fillId="0" borderId="0" xfId="0" applyNumberFormat="1" applyFont="1" applyFill="1" applyBorder="1" applyAlignment="1" applyProtection="1">
      <alignment horizontal="center" vertical="center"/>
      <protection locked="0"/>
    </xf>
    <xf numFmtId="2" fontId="10" fillId="0" borderId="0" xfId="0" applyNumberFormat="1" applyFont="1" applyFill="1" applyBorder="1" applyAlignment="1">
      <alignment horizontal="center" vertical="center"/>
    </xf>
    <xf numFmtId="0" fontId="10" fillId="7" borderId="0" xfId="0" applyFont="1" applyFill="1" applyAlignment="1">
      <alignment horizontal="right" vertical="center"/>
    </xf>
    <xf numFmtId="165" fontId="18" fillId="7" borderId="0" xfId="0" applyNumberFormat="1" applyFont="1" applyFill="1" applyBorder="1" applyAlignment="1" applyProtection="1">
      <alignment horizontal="center" vertical="center"/>
      <protection locked="0"/>
    </xf>
    <xf numFmtId="3" fontId="24" fillId="7" borderId="0" xfId="0" applyNumberFormat="1" applyFont="1" applyFill="1" applyBorder="1" applyAlignment="1" applyProtection="1">
      <alignment horizontal="center" vertical="center"/>
      <protection locked="0"/>
    </xf>
    <xf numFmtId="164" fontId="18" fillId="7" borderId="0" xfId="0" applyNumberFormat="1" applyFont="1" applyFill="1" applyBorder="1" applyAlignment="1" applyProtection="1">
      <alignment horizontal="center" vertical="center"/>
      <protection locked="0"/>
    </xf>
    <xf numFmtId="2" fontId="18" fillId="7" borderId="0" xfId="0" applyNumberFormat="1" applyFont="1" applyFill="1" applyBorder="1" applyAlignment="1" applyProtection="1">
      <alignment horizontal="center" vertical="center"/>
      <protection locked="0"/>
    </xf>
    <xf numFmtId="0" fontId="14" fillId="0" borderId="0" xfId="0" applyFont="1" applyFill="1" applyAlignment="1">
      <alignment vertical="center"/>
    </xf>
    <xf numFmtId="0" fontId="21" fillId="7" borderId="0" xfId="0" applyFont="1" applyFill="1" applyBorder="1" applyAlignment="1">
      <alignment horizontal="left" vertical="center"/>
    </xf>
    <xf numFmtId="0" fontId="21" fillId="7" borderId="8" xfId="0" applyFont="1" applyFill="1" applyBorder="1" applyAlignment="1">
      <alignment horizontal="left" vertical="center"/>
    </xf>
    <xf numFmtId="165" fontId="18" fillId="7" borderId="0" xfId="0" applyNumberFormat="1" applyFont="1" applyFill="1" applyBorder="1" applyAlignment="1" applyProtection="1">
      <alignment horizontal="left" vertical="center"/>
      <protection locked="0"/>
    </xf>
    <xf numFmtId="165" fontId="18" fillId="7" borderId="1" xfId="0" applyNumberFormat="1" applyFont="1" applyFill="1" applyBorder="1" applyAlignment="1" applyProtection="1">
      <alignment horizontal="left" vertical="center"/>
      <protection locked="0"/>
    </xf>
    <xf numFmtId="165" fontId="10" fillId="7" borderId="8" xfId="0" applyNumberFormat="1" applyFont="1" applyFill="1" applyBorder="1" applyAlignment="1" applyProtection="1">
      <alignment horizontal="left" vertical="center"/>
      <protection locked="0"/>
    </xf>
    <xf numFmtId="165" fontId="10" fillId="7" borderId="0" xfId="0" applyNumberFormat="1" applyFont="1" applyFill="1" applyBorder="1" applyAlignment="1" applyProtection="1">
      <alignment horizontal="left" vertical="center"/>
      <protection locked="0"/>
    </xf>
    <xf numFmtId="165" fontId="18" fillId="7" borderId="10" xfId="0" applyNumberFormat="1" applyFont="1" applyFill="1" applyBorder="1" applyAlignment="1" applyProtection="1">
      <alignment horizontal="left" vertical="center"/>
      <protection locked="0"/>
    </xf>
    <xf numFmtId="165" fontId="10" fillId="7" borderId="1" xfId="0" applyNumberFormat="1" applyFont="1" applyFill="1" applyBorder="1" applyAlignment="1" applyProtection="1">
      <alignment horizontal="left" vertical="center"/>
      <protection locked="0"/>
    </xf>
    <xf numFmtId="0" fontId="21" fillId="3" borderId="0" xfId="0" applyFont="1" applyFill="1" applyAlignment="1">
      <alignment horizontal="center" vertical="center"/>
    </xf>
    <xf numFmtId="0" fontId="0" fillId="7" borderId="15" xfId="0" applyFill="1" applyBorder="1" applyAlignment="1">
      <alignment horizontal="center" vertical="center"/>
    </xf>
    <xf numFmtId="0" fontId="0" fillId="7" borderId="4" xfId="0" applyFill="1" applyBorder="1" applyAlignment="1">
      <alignment horizontal="center" vertical="center"/>
    </xf>
    <xf numFmtId="2" fontId="0" fillId="0" borderId="0" xfId="0" applyNumberFormat="1" applyAlignment="1">
      <alignment horizontal="center"/>
    </xf>
    <xf numFmtId="2" fontId="0" fillId="0" borderId="0" xfId="0" applyNumberFormat="1" applyAlignment="1">
      <alignment horizontal="center"/>
    </xf>
    <xf numFmtId="168" fontId="0" fillId="0" borderId="0" xfId="0" applyNumberFormat="1"/>
    <xf numFmtId="172" fontId="0" fillId="0" borderId="0" xfId="0" applyNumberFormat="1"/>
    <xf numFmtId="168" fontId="0" fillId="0" borderId="0" xfId="0" applyNumberFormat="1" applyAlignment="1">
      <alignment horizontal="center"/>
    </xf>
    <xf numFmtId="165" fontId="0" fillId="0" borderId="0" xfId="0" applyNumberFormat="1" applyBorder="1" applyAlignment="1">
      <alignment horizontal="center"/>
    </xf>
    <xf numFmtId="172" fontId="0" fillId="0" borderId="0" xfId="0" applyNumberFormat="1" applyAlignment="1">
      <alignment horizontal="center"/>
    </xf>
    <xf numFmtId="2" fontId="0" fillId="0" borderId="0" xfId="0" applyNumberFormat="1" applyBorder="1" applyAlignment="1">
      <alignment horizontal="center"/>
    </xf>
    <xf numFmtId="0" fontId="33" fillId="12" borderId="0" xfId="0" applyFont="1" applyFill="1" applyAlignment="1">
      <alignment horizontal="center" vertical="center"/>
    </xf>
    <xf numFmtId="0" fontId="2" fillId="0" borderId="0" xfId="0" applyFont="1" applyAlignment="1">
      <alignment horizontal="center"/>
    </xf>
    <xf numFmtId="2" fontId="0" fillId="0" borderId="0" xfId="0" applyNumberFormat="1" applyAlignment="1">
      <alignment horizontal="center"/>
    </xf>
    <xf numFmtId="0" fontId="0" fillId="7" borderId="0" xfId="0" applyFill="1" applyAlignment="1">
      <alignment horizontal="center" vertical="center"/>
    </xf>
    <xf numFmtId="0" fontId="29" fillId="7" borderId="0" xfId="0" applyFont="1" applyFill="1" applyBorder="1" applyAlignment="1">
      <alignment horizontal="center" vertical="center"/>
    </xf>
    <xf numFmtId="0" fontId="10" fillId="7" borderId="0" xfId="0" applyFont="1" applyFill="1" applyAlignment="1">
      <alignment horizontal="center" vertical="center"/>
    </xf>
    <xf numFmtId="0" fontId="10" fillId="7" borderId="16" xfId="0" applyFont="1" applyFill="1" applyBorder="1" applyAlignment="1">
      <alignment horizontal="center" vertical="center"/>
    </xf>
    <xf numFmtId="165" fontId="34" fillId="13" borderId="6" xfId="0" applyNumberFormat="1" applyFont="1" applyFill="1" applyBorder="1" applyAlignment="1" applyProtection="1">
      <alignment horizontal="center" vertical="center"/>
      <protection locked="0"/>
    </xf>
    <xf numFmtId="165" fontId="34" fillId="13" borderId="3" xfId="0" applyNumberFormat="1" applyFont="1" applyFill="1" applyBorder="1" applyAlignment="1" applyProtection="1">
      <alignment horizontal="center" vertical="center"/>
      <protection locked="0"/>
    </xf>
    <xf numFmtId="165" fontId="34" fillId="13" borderId="7" xfId="0" applyNumberFormat="1" applyFont="1" applyFill="1" applyBorder="1" applyAlignment="1" applyProtection="1">
      <alignment horizontal="center" vertical="center"/>
      <protection locked="0"/>
    </xf>
    <xf numFmtId="0" fontId="17" fillId="0" borderId="1" xfId="0" applyFont="1" applyBorder="1" applyAlignment="1">
      <alignment horizontal="center" vertical="center" wrapText="1"/>
    </xf>
    <xf numFmtId="37" fontId="10" fillId="7" borderId="12" xfId="3" applyNumberFormat="1" applyFont="1" applyFill="1" applyBorder="1" applyAlignment="1" applyProtection="1">
      <alignment horizontal="center" vertical="center" wrapText="1"/>
      <protection locked="0"/>
    </xf>
    <xf numFmtId="37" fontId="10" fillId="7" borderId="13" xfId="3" applyNumberFormat="1" applyFont="1" applyFill="1" applyBorder="1" applyAlignment="1" applyProtection="1">
      <alignment horizontal="center" vertical="center" wrapText="1"/>
      <protection locked="0"/>
    </xf>
    <xf numFmtId="37" fontId="10" fillId="7" borderId="14" xfId="3" applyNumberFormat="1" applyFont="1" applyFill="1" applyBorder="1" applyAlignment="1" applyProtection="1">
      <alignment horizontal="center" vertical="center" wrapText="1"/>
      <protection locked="0"/>
    </xf>
    <xf numFmtId="37" fontId="10" fillId="7" borderId="8" xfId="3" applyNumberFormat="1" applyFont="1" applyFill="1" applyBorder="1" applyAlignment="1" applyProtection="1">
      <alignment horizontal="left" vertical="center" wrapText="1"/>
      <protection locked="0"/>
    </xf>
    <xf numFmtId="37" fontId="10" fillId="7" borderId="0" xfId="3" applyNumberFormat="1" applyFont="1" applyFill="1" applyBorder="1" applyAlignment="1" applyProtection="1">
      <alignment horizontal="left" vertical="center" wrapText="1"/>
      <protection locked="0"/>
    </xf>
    <xf numFmtId="37" fontId="10" fillId="7" borderId="9" xfId="3" applyNumberFormat="1" applyFont="1" applyFill="1" applyBorder="1" applyAlignment="1" applyProtection="1">
      <alignment horizontal="left" vertical="center" wrapText="1"/>
      <protection locked="0"/>
    </xf>
    <xf numFmtId="0" fontId="10" fillId="7" borderId="8" xfId="0" applyFont="1" applyFill="1" applyBorder="1" applyAlignment="1">
      <alignment horizontal="left" vertical="center"/>
    </xf>
    <xf numFmtId="0" fontId="10" fillId="7" borderId="0" xfId="0" applyFont="1" applyFill="1" applyBorder="1" applyAlignment="1">
      <alignment horizontal="left" vertical="center"/>
    </xf>
    <xf numFmtId="0" fontId="10" fillId="7" borderId="9" xfId="0" applyFont="1" applyFill="1" applyBorder="1" applyAlignment="1">
      <alignment horizontal="left" vertical="center"/>
    </xf>
    <xf numFmtId="0" fontId="10" fillId="7" borderId="19" xfId="0" applyFont="1" applyFill="1" applyBorder="1" applyAlignment="1">
      <alignment horizontal="center" vertical="center"/>
    </xf>
    <xf numFmtId="0" fontId="10" fillId="7" borderId="20" xfId="0" applyFont="1" applyFill="1" applyBorder="1" applyAlignment="1">
      <alignment horizontal="center" vertical="center"/>
    </xf>
    <xf numFmtId="0" fontId="34" fillId="13" borderId="12" xfId="0" applyFont="1" applyFill="1" applyBorder="1" applyAlignment="1">
      <alignment horizontal="center" vertical="center"/>
    </xf>
    <xf numFmtId="0" fontId="34" fillId="13" borderId="13" xfId="0" applyFont="1" applyFill="1" applyBorder="1" applyAlignment="1">
      <alignment horizontal="center" vertical="center"/>
    </xf>
    <xf numFmtId="0" fontId="34" fillId="13" borderId="14" xfId="0" applyFont="1" applyFill="1" applyBorder="1" applyAlignment="1">
      <alignment horizontal="center" vertical="center"/>
    </xf>
    <xf numFmtId="0" fontId="39" fillId="0" borderId="6" xfId="0" applyFont="1" applyBorder="1" applyAlignment="1">
      <alignment horizontal="left" vertical="center" wrapText="1"/>
    </xf>
    <xf numFmtId="0" fontId="39" fillId="0" borderId="3" xfId="0" applyFont="1" applyBorder="1" applyAlignment="1">
      <alignment horizontal="left" vertical="center" wrapText="1"/>
    </xf>
    <xf numFmtId="0" fontId="39" fillId="0" borderId="7" xfId="0" applyFont="1" applyBorder="1" applyAlignment="1">
      <alignment horizontal="left" vertical="center" wrapText="1"/>
    </xf>
    <xf numFmtId="0" fontId="39" fillId="0" borderId="8" xfId="0" applyFont="1" applyBorder="1" applyAlignment="1">
      <alignment horizontal="left" vertical="center" wrapText="1"/>
    </xf>
    <xf numFmtId="0" fontId="39" fillId="0" borderId="0" xfId="0" applyFont="1" applyAlignment="1">
      <alignment horizontal="left" vertical="center" wrapText="1"/>
    </xf>
    <xf numFmtId="0" fontId="39" fillId="0" borderId="9" xfId="0" applyFont="1" applyBorder="1" applyAlignment="1">
      <alignment horizontal="left" vertical="center" wrapText="1"/>
    </xf>
    <xf numFmtId="0" fontId="39" fillId="0" borderId="10" xfId="0" applyFont="1" applyBorder="1" applyAlignment="1">
      <alignment horizontal="left" vertical="center"/>
    </xf>
    <xf numFmtId="0" fontId="39" fillId="0" borderId="1" xfId="0" applyFont="1" applyBorder="1" applyAlignment="1">
      <alignment horizontal="left" vertical="center"/>
    </xf>
    <xf numFmtId="0" fontId="39" fillId="0" borderId="11" xfId="0" applyFont="1" applyBorder="1" applyAlignment="1">
      <alignment horizontal="left" vertical="center"/>
    </xf>
    <xf numFmtId="0" fontId="40" fillId="7" borderId="0" xfId="0" applyFont="1" applyFill="1" applyAlignment="1">
      <alignment horizontal="left" vertical="center" wrapText="1"/>
    </xf>
    <xf numFmtId="0" fontId="0" fillId="7" borderId="2" xfId="0" applyFill="1" applyBorder="1" applyAlignment="1">
      <alignment horizontal="center" vertical="center"/>
    </xf>
    <xf numFmtId="0" fontId="0" fillId="7" borderId="15" xfId="0" applyFill="1" applyBorder="1" applyAlignment="1">
      <alignment horizontal="center" vertical="center"/>
    </xf>
    <xf numFmtId="0" fontId="0" fillId="7" borderId="4" xfId="0" applyFill="1" applyBorder="1" applyAlignment="1">
      <alignment horizontal="center" vertical="center"/>
    </xf>
    <xf numFmtId="0" fontId="16" fillId="3" borderId="0" xfId="0" applyFont="1" applyFill="1" applyAlignment="1">
      <alignment horizontal="center" vertical="center"/>
    </xf>
    <xf numFmtId="0" fontId="36" fillId="7" borderId="0" xfId="0" applyFont="1" applyFill="1" applyAlignment="1">
      <alignment horizontal="center" vertical="center"/>
    </xf>
    <xf numFmtId="0" fontId="34" fillId="7" borderId="0" xfId="0" applyFont="1" applyFill="1" applyAlignment="1">
      <alignment horizontal="center" vertical="center"/>
    </xf>
    <xf numFmtId="0" fontId="37" fillId="7" borderId="0" xfId="0" applyFont="1" applyFill="1" applyAlignment="1">
      <alignment horizontal="left" vertical="center" wrapText="1"/>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10" fillId="0" borderId="0" xfId="0" applyFont="1" applyAlignment="1">
      <alignment horizontal="center"/>
    </xf>
    <xf numFmtId="0" fontId="2" fillId="0" borderId="0" xfId="0" applyFont="1" applyAlignment="1">
      <alignment horizontal="left"/>
    </xf>
    <xf numFmtId="0" fontId="2" fillId="0" borderId="0"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4" fillId="0" borderId="0" xfId="0" applyFont="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xf>
    <xf numFmtId="0" fontId="0" fillId="0" borderId="3" xfId="0" applyBorder="1" applyAlignment="1">
      <alignment horizontal="center"/>
    </xf>
    <xf numFmtId="0" fontId="0" fillId="0" borderId="7" xfId="0" applyBorder="1" applyAlignment="1">
      <alignment horizontal="center"/>
    </xf>
    <xf numFmtId="0" fontId="17" fillId="7" borderId="1" xfId="0" applyFont="1" applyFill="1" applyBorder="1" applyAlignment="1">
      <alignment horizontal="center" vertical="center" wrapText="1"/>
    </xf>
    <xf numFmtId="0" fontId="34" fillId="13" borderId="6" xfId="0" applyFont="1" applyFill="1" applyBorder="1" applyAlignment="1">
      <alignment horizontal="center" vertical="center"/>
    </xf>
    <xf numFmtId="0" fontId="34" fillId="13" borderId="3" xfId="0" applyFont="1" applyFill="1" applyBorder="1" applyAlignment="1">
      <alignment horizontal="center" vertical="center"/>
    </xf>
    <xf numFmtId="0" fontId="34" fillId="13" borderId="7" xfId="0" applyFont="1" applyFill="1" applyBorder="1" applyAlignment="1">
      <alignment horizontal="center" vertical="center"/>
    </xf>
    <xf numFmtId="0" fontId="10" fillId="7" borderId="12" xfId="0" applyFont="1" applyFill="1" applyBorder="1" applyAlignment="1">
      <alignment horizontal="center" vertical="center" wrapText="1"/>
    </xf>
    <xf numFmtId="0" fontId="10" fillId="7" borderId="13" xfId="0" applyFont="1" applyFill="1" applyBorder="1" applyAlignment="1">
      <alignment horizontal="center" vertical="center" wrapText="1"/>
    </xf>
    <xf numFmtId="0" fontId="10" fillId="7" borderId="14" xfId="0" applyFont="1" applyFill="1" applyBorder="1" applyAlignment="1">
      <alignment horizontal="center" vertical="center" wrapText="1"/>
    </xf>
    <xf numFmtId="0" fontId="10" fillId="7" borderId="8" xfId="0" applyFont="1" applyFill="1" applyBorder="1" applyAlignment="1">
      <alignment horizontal="left" vertical="center" wrapText="1"/>
    </xf>
    <xf numFmtId="0" fontId="10" fillId="7" borderId="0" xfId="0" applyFont="1" applyFill="1" applyBorder="1" applyAlignment="1">
      <alignment horizontal="left" vertical="center" wrapText="1"/>
    </xf>
    <xf numFmtId="0" fontId="10" fillId="7" borderId="9" xfId="0" applyFont="1" applyFill="1" applyBorder="1" applyAlignment="1">
      <alignment horizontal="left" vertical="center" wrapText="1"/>
    </xf>
    <xf numFmtId="0" fontId="10" fillId="7" borderId="6" xfId="0" applyFont="1" applyFill="1" applyBorder="1" applyAlignment="1">
      <alignment horizontal="center" vertical="center" wrapText="1"/>
    </xf>
    <xf numFmtId="0" fontId="10" fillId="7" borderId="3" xfId="0" applyFont="1" applyFill="1" applyBorder="1" applyAlignment="1">
      <alignment horizontal="center" vertical="center" wrapText="1"/>
    </xf>
    <xf numFmtId="0" fontId="10" fillId="7" borderId="7" xfId="0" applyFont="1" applyFill="1" applyBorder="1" applyAlignment="1">
      <alignment horizontal="center" vertical="center" wrapText="1"/>
    </xf>
    <xf numFmtId="0" fontId="10" fillId="7" borderId="6" xfId="0" applyFont="1" applyFill="1" applyBorder="1" applyAlignment="1">
      <alignment horizontal="left" vertical="center" wrapText="1"/>
    </xf>
    <xf numFmtId="0" fontId="10" fillId="7" borderId="3" xfId="0" applyFont="1" applyFill="1" applyBorder="1" applyAlignment="1">
      <alignment horizontal="left" vertical="center" wrapText="1"/>
    </xf>
    <xf numFmtId="0" fontId="10" fillId="7" borderId="7" xfId="0" applyFont="1" applyFill="1" applyBorder="1" applyAlignment="1">
      <alignment horizontal="left" vertical="center" wrapText="1"/>
    </xf>
  </cellXfs>
  <cellStyles count="6">
    <cellStyle name="Comma" xfId="3" builtinId="3"/>
    <cellStyle name="Currency" xfId="2" builtinId="4"/>
    <cellStyle name="Normal" xfId="0" builtinId="0"/>
    <cellStyle name="Normal 2" xfId="4" xr:uid="{9AC22C6E-AE5F-D542-9A6F-FFB126CFAC1D}"/>
    <cellStyle name="Percent" xfId="1" builtinId="5"/>
    <cellStyle name="Percent 2" xfId="5" xr:uid="{980CBFFD-E4DE-3F45-925C-250DF0D8294E}"/>
  </cellStyles>
  <dxfs count="40">
    <dxf>
      <font>
        <b/>
        <i val="0"/>
        <color rgb="FFFF0000"/>
      </font>
    </dxf>
    <dxf>
      <font>
        <b/>
        <i val="0"/>
        <color rgb="FF00B050"/>
      </font>
    </dxf>
    <dxf>
      <font>
        <b/>
        <i val="0"/>
        <color rgb="FF7030A0"/>
      </font>
    </dxf>
    <dxf>
      <font>
        <b/>
        <i val="0"/>
        <color rgb="FFFF0000"/>
      </font>
    </dxf>
    <dxf>
      <font>
        <b/>
        <i val="0"/>
        <color rgb="FF00B050"/>
      </font>
    </dxf>
    <dxf>
      <font>
        <b/>
        <i val="0"/>
        <color rgb="FF7030A0"/>
      </font>
    </dxf>
    <dxf>
      <font>
        <color theme="4" tint="-0.24994659260841701"/>
      </font>
      <numFmt numFmtId="173" formatCode="\+0.00%"/>
      <fill>
        <patternFill patternType="solid">
          <bgColor theme="0"/>
        </patternFill>
      </fill>
    </dxf>
    <dxf>
      <font>
        <color rgb="FFFF0000"/>
      </font>
      <fill>
        <patternFill patternType="solid">
          <bgColor theme="0"/>
        </patternFill>
      </fill>
    </dxf>
    <dxf>
      <font>
        <color theme="4" tint="-0.24994659260841701"/>
      </font>
      <numFmt numFmtId="173" formatCode="\+0.00%"/>
      <fill>
        <patternFill patternType="solid">
          <bgColor theme="0"/>
        </patternFill>
      </fill>
    </dxf>
    <dxf>
      <font>
        <color rgb="FFFF0000"/>
      </font>
      <fill>
        <patternFill patternType="solid">
          <bgColor theme="0"/>
        </patternFill>
      </fill>
    </dxf>
    <dxf>
      <font>
        <color theme="4" tint="-0.24994659260841701"/>
      </font>
      <numFmt numFmtId="173" formatCode="\+0.00%"/>
      <fill>
        <patternFill patternType="none">
          <bgColor auto="1"/>
        </patternFill>
      </fill>
    </dxf>
    <dxf>
      <font>
        <color rgb="FFFF0000"/>
      </font>
      <fill>
        <patternFill patternType="none">
          <bgColor auto="1"/>
        </patternFill>
      </fill>
    </dxf>
    <dxf>
      <font>
        <color theme="4" tint="-0.24994659260841701"/>
      </font>
      <numFmt numFmtId="173" formatCode="\+0.00%"/>
      <fill>
        <patternFill patternType="solid">
          <bgColor theme="0"/>
        </patternFill>
      </fill>
    </dxf>
    <dxf>
      <font>
        <color rgb="FFFF0000"/>
      </font>
      <fill>
        <patternFill patternType="solid">
          <bgColor theme="0"/>
        </patternFill>
      </fill>
    </dxf>
    <dxf>
      <font>
        <color theme="4" tint="-0.24994659260841701"/>
      </font>
      <numFmt numFmtId="173" formatCode="\+0.00%"/>
      <fill>
        <patternFill patternType="none">
          <bgColor auto="1"/>
        </patternFill>
      </fill>
    </dxf>
    <dxf>
      <font>
        <color rgb="FFFF0000"/>
      </font>
      <fill>
        <patternFill patternType="none">
          <bgColor auto="1"/>
        </patternFill>
      </fill>
    </dxf>
    <dxf>
      <font>
        <color theme="4" tint="-0.24994659260841701"/>
      </font>
      <numFmt numFmtId="174" formatCode="\+&quot;$&quot;#,##0.00"/>
      <fill>
        <patternFill patternType="solid">
          <bgColor theme="0"/>
        </patternFill>
      </fill>
    </dxf>
    <dxf>
      <font>
        <color rgb="FFFF0000"/>
      </font>
      <numFmt numFmtId="164" formatCode="&quot;$&quot;#,##0.00"/>
      <fill>
        <patternFill patternType="solid">
          <bgColor theme="0"/>
        </patternFill>
      </fill>
    </dxf>
    <dxf>
      <font>
        <color theme="4" tint="-0.24994659260841701"/>
      </font>
      <numFmt numFmtId="174" formatCode="\+&quot;$&quot;#,##0.00"/>
      <fill>
        <patternFill patternType="solid">
          <bgColor theme="0"/>
        </patternFill>
      </fill>
    </dxf>
    <dxf>
      <font>
        <color rgb="FFFF0000"/>
      </font>
      <numFmt numFmtId="164" formatCode="&quot;$&quot;#,##0.00"/>
      <fill>
        <patternFill patternType="solid">
          <bgColor theme="0"/>
        </patternFill>
      </fill>
    </dxf>
    <dxf>
      <font>
        <color theme="4" tint="-0.24994659260841701"/>
      </font>
      <numFmt numFmtId="173" formatCode="\+0.00%"/>
      <fill>
        <patternFill patternType="solid">
          <bgColor theme="0"/>
        </patternFill>
      </fill>
    </dxf>
    <dxf>
      <font>
        <color rgb="FFFF0000"/>
      </font>
      <fill>
        <patternFill patternType="solid">
          <bgColor theme="0"/>
        </patternFill>
      </fill>
    </dxf>
    <dxf>
      <font>
        <color rgb="FFFF0000"/>
      </font>
      <fill>
        <patternFill patternType="none">
          <bgColor auto="1"/>
        </patternFill>
      </fill>
    </dxf>
    <dxf>
      <font>
        <color theme="4" tint="-0.24994659260841701"/>
      </font>
      <fill>
        <patternFill patternType="none">
          <bgColor auto="1"/>
        </patternFill>
      </fill>
    </dxf>
    <dxf>
      <font>
        <color rgb="FFFF0000"/>
      </font>
      <fill>
        <patternFill patternType="none">
          <bgColor auto="1"/>
        </patternFill>
      </fill>
    </dxf>
    <dxf>
      <font>
        <color rgb="FF0070C0"/>
      </font>
      <fill>
        <patternFill patternType="none">
          <bgColor auto="1"/>
        </patternFill>
      </fill>
    </dxf>
    <dxf>
      <font>
        <color rgb="FFFF0000"/>
      </font>
      <numFmt numFmtId="14" formatCode="0.00%"/>
      <fill>
        <patternFill patternType="solid">
          <bgColor theme="0"/>
        </patternFill>
      </fill>
    </dxf>
    <dxf>
      <font>
        <color rgb="FF0070C0"/>
      </font>
      <numFmt numFmtId="173" formatCode="\+0.00%"/>
      <fill>
        <patternFill patternType="solid">
          <bgColor theme="0"/>
        </patternFill>
      </fill>
    </dxf>
    <dxf>
      <font>
        <b/>
        <i val="0"/>
        <color rgb="FFFF0000"/>
      </font>
    </dxf>
    <dxf>
      <font>
        <b/>
        <i val="0"/>
        <color rgb="FF00B050"/>
      </font>
    </dxf>
    <dxf>
      <font>
        <b/>
        <i val="0"/>
        <color rgb="FF7030A0"/>
      </font>
    </dxf>
    <dxf>
      <font>
        <b/>
        <i val="0"/>
        <color rgb="FFFF0000"/>
      </font>
    </dxf>
    <dxf>
      <font>
        <b/>
        <i val="0"/>
        <color rgb="FF00B050"/>
      </font>
    </dxf>
    <dxf>
      <font>
        <b/>
        <i val="0"/>
        <color rgb="FF7030A0"/>
      </font>
    </dxf>
    <dxf>
      <font>
        <color theme="4" tint="-0.24994659260841701"/>
      </font>
      <numFmt numFmtId="174" formatCode="\+&quot;$&quot;#,##0.00"/>
      <fill>
        <patternFill patternType="none">
          <bgColor auto="1"/>
        </patternFill>
      </fill>
    </dxf>
    <dxf>
      <font>
        <color rgb="FFFF0000"/>
      </font>
      <numFmt numFmtId="164" formatCode="&quot;$&quot;#,##0.00"/>
      <fill>
        <patternFill patternType="none">
          <bgColor auto="1"/>
        </patternFill>
      </fill>
    </dxf>
    <dxf>
      <font>
        <color rgb="FFFF0000"/>
      </font>
      <fill>
        <patternFill patternType="none">
          <bgColor auto="1"/>
        </patternFill>
      </fill>
    </dxf>
    <dxf>
      <font>
        <color theme="4" tint="-0.24994659260841701"/>
      </font>
      <fill>
        <patternFill patternType="none">
          <bgColor auto="1"/>
        </patternFill>
      </fill>
    </dxf>
    <dxf>
      <font>
        <color rgb="FFFF0000"/>
      </font>
      <fill>
        <patternFill patternType="none">
          <bgColor auto="1"/>
        </patternFill>
      </fill>
    </dxf>
    <dxf>
      <font>
        <color rgb="FF0070C0"/>
      </font>
      <fill>
        <patternFill patternType="none">
          <bgColor auto="1"/>
        </patternFill>
      </fill>
    </dxf>
  </dxfs>
  <tableStyles count="0" defaultTableStyle="TableStyleMedium2" defaultPivotStyle="PivotStyleLight16"/>
  <colors>
    <mruColors>
      <color rgb="FFFFFF99"/>
      <color rgb="FFD3CAF3"/>
      <color rgb="FFFFFD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'STTD P Energy equation'!$G$3</c:f>
              <c:strCache>
                <c:ptCount val="1"/>
                <c:pt idx="0">
                  <c:v>STTDP_NE_kg</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ly"/>
            <c:order val="2"/>
            <c:dispRSqr val="1"/>
            <c:dispEq val="1"/>
            <c:trendlineLbl>
              <c:layout>
                <c:manualLayout>
                  <c:x val="8.3989970051712132E-2"/>
                  <c:y val="0.13049367024779171"/>
                </c:manualLayout>
              </c:layout>
              <c:numFmt formatCode="#,##0.000000000000000000000" sourceLinked="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rendlineLbl>
          </c:trendline>
          <c:xVal>
            <c:numRef>
              <c:f>'STTD P Energy equation'!$C$4:$C$8</c:f>
              <c:numCache>
                <c:formatCode>0.00</c:formatCode>
                <c:ptCount val="5"/>
                <c:pt idx="0">
                  <c:v>17.758141285500002</c:v>
                </c:pt>
                <c:pt idx="1">
                  <c:v>36.627583877500001</c:v>
                </c:pt>
                <c:pt idx="2">
                  <c:v>63.208096759499995</c:v>
                </c:pt>
                <c:pt idx="3">
                  <c:v>82.621850195500016</c:v>
                </c:pt>
                <c:pt idx="4">
                  <c:v>110.0641885805</c:v>
                </c:pt>
              </c:numCache>
            </c:numRef>
          </c:xVal>
          <c:yVal>
            <c:numRef>
              <c:f>'STTD P Energy equation'!$G$4:$G$8</c:f>
              <c:numCache>
                <c:formatCode>0.00</c:formatCode>
                <c:ptCount val="5"/>
                <c:pt idx="0">
                  <c:v>1.7842323651452281</c:v>
                </c:pt>
                <c:pt idx="1">
                  <c:v>1.5644298065047344</c:v>
                </c:pt>
                <c:pt idx="2">
                  <c:v>1.3221153846153846</c:v>
                </c:pt>
                <c:pt idx="3">
                  <c:v>1.1426319936958234</c:v>
                </c:pt>
                <c:pt idx="4">
                  <c:v>1.0220125786163523</c:v>
                </c:pt>
              </c:numCache>
            </c:numRef>
          </c:yVal>
          <c:smooth val="0"/>
          <c:extLst>
            <c:ext xmlns:c16="http://schemas.microsoft.com/office/drawing/2014/chart" uri="{C3380CC4-5D6E-409C-BE32-E72D297353CC}">
              <c16:uniqueId val="{00000000-73FB-4E4E-A9F8-F77B9741B22E}"/>
            </c:ext>
          </c:extLst>
        </c:ser>
        <c:dLbls>
          <c:showLegendKey val="0"/>
          <c:showVal val="0"/>
          <c:showCatName val="0"/>
          <c:showSerName val="0"/>
          <c:showPercent val="0"/>
          <c:showBubbleSize val="0"/>
        </c:dLbls>
        <c:axId val="1304055392"/>
        <c:axId val="1304097264"/>
      </c:scatterChart>
      <c:valAx>
        <c:axId val="1304055392"/>
        <c:scaling>
          <c:orientation val="minMax"/>
        </c:scaling>
        <c:delete val="0"/>
        <c:axPos val="b"/>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Body Weight</a:t>
                </a:r>
              </a:p>
            </c:rich>
          </c:tx>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304097264"/>
        <c:crosses val="autoZero"/>
        <c:crossBetween val="midCat"/>
      </c:valAx>
      <c:valAx>
        <c:axId val="13040972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STTD P:NE</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30405539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'STTD P Energy equation'!$L$3</c:f>
              <c:strCache>
                <c:ptCount val="1"/>
                <c:pt idx="0">
                  <c:v>STTD P_ME_kg</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ly"/>
            <c:order val="2"/>
            <c:dispRSqr val="1"/>
            <c:dispEq val="1"/>
            <c:trendlineLbl>
              <c:layout>
                <c:manualLayout>
                  <c:x val="8.3989970051712132E-2"/>
                  <c:y val="0.13049367024779171"/>
                </c:manualLayout>
              </c:layout>
              <c:numFmt formatCode="#,##0.000000000000000000000" sourceLinked="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rendlineLbl>
          </c:trendline>
          <c:xVal>
            <c:numRef>
              <c:f>'STTD P Energy equation'!$C$4:$C$8</c:f>
              <c:numCache>
                <c:formatCode>0.00</c:formatCode>
                <c:ptCount val="5"/>
                <c:pt idx="0">
                  <c:v>17.758141285500002</c:v>
                </c:pt>
                <c:pt idx="1">
                  <c:v>36.627583877500001</c:v>
                </c:pt>
                <c:pt idx="2">
                  <c:v>63.208096759499995</c:v>
                </c:pt>
                <c:pt idx="3">
                  <c:v>82.621850195500016</c:v>
                </c:pt>
                <c:pt idx="4">
                  <c:v>110.0641885805</c:v>
                </c:pt>
              </c:numCache>
            </c:numRef>
          </c:xVal>
          <c:yVal>
            <c:numRef>
              <c:f>'STTD P Energy equation'!$L$4:$L$8</c:f>
              <c:numCache>
                <c:formatCode>0.000000000</c:formatCode>
                <c:ptCount val="5"/>
                <c:pt idx="0">
                  <c:v>1.3169984686064318</c:v>
                </c:pt>
                <c:pt idx="1">
                  <c:v>1.1567732115677321</c:v>
                </c:pt>
                <c:pt idx="2">
                  <c:v>1</c:v>
                </c:pt>
                <c:pt idx="3">
                  <c:v>0.87878787878787878</c:v>
                </c:pt>
                <c:pt idx="4">
                  <c:v>0.78573587186461169</c:v>
                </c:pt>
              </c:numCache>
            </c:numRef>
          </c:yVal>
          <c:smooth val="0"/>
          <c:extLst>
            <c:ext xmlns:c16="http://schemas.microsoft.com/office/drawing/2014/chart" uri="{C3380CC4-5D6E-409C-BE32-E72D297353CC}">
              <c16:uniqueId val="{00000001-1A69-0044-9E6F-4B71F3EAC6E6}"/>
            </c:ext>
          </c:extLst>
        </c:ser>
        <c:dLbls>
          <c:showLegendKey val="0"/>
          <c:showVal val="0"/>
          <c:showCatName val="0"/>
          <c:showSerName val="0"/>
          <c:showPercent val="0"/>
          <c:showBubbleSize val="0"/>
        </c:dLbls>
        <c:axId val="1304055392"/>
        <c:axId val="1304097264"/>
      </c:scatterChart>
      <c:valAx>
        <c:axId val="1304055392"/>
        <c:scaling>
          <c:orientation val="minMax"/>
        </c:scaling>
        <c:delete val="0"/>
        <c:axPos val="b"/>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Body Weight</a:t>
                </a:r>
              </a:p>
            </c:rich>
          </c:tx>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304097264"/>
        <c:crosses val="autoZero"/>
        <c:crossBetween val="midCat"/>
      </c:valAx>
      <c:valAx>
        <c:axId val="13040972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STTD P:ME</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304055392"/>
        <c:crosses val="autoZero"/>
        <c:crossBetween val="midCat"/>
        <c:majorUnit val="0.4"/>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'NRC 2012'!$D$19</c:f>
              <c:strCache>
                <c:ptCount val="1"/>
                <c:pt idx="0">
                  <c:v>P, STTD</c:v>
                </c:pt>
              </c:strCache>
            </c:strRef>
          </c:tx>
          <c:spPr>
            <a:ln w="44450" cap="rnd">
              <a:solidFill>
                <a:srgbClr val="7030A0"/>
              </a:solidFill>
              <a:round/>
            </a:ln>
            <a:effectLst/>
          </c:spPr>
          <c:marker>
            <c:symbol val="circle"/>
            <c:size val="5"/>
            <c:spPr>
              <a:solidFill>
                <a:schemeClr val="accent4">
                  <a:lumMod val="40000"/>
                  <a:lumOff val="60000"/>
                </a:schemeClr>
              </a:solidFill>
              <a:ln w="9525">
                <a:noFill/>
              </a:ln>
              <a:effectLst/>
            </c:spPr>
          </c:marker>
          <c:trendline>
            <c:spPr>
              <a:ln w="19050" cap="rnd">
                <a:solidFill>
                  <a:schemeClr val="accent1"/>
                </a:solidFill>
                <a:prstDash val="sysDot"/>
              </a:ln>
              <a:effectLst/>
            </c:spPr>
            <c:trendlineType val="exp"/>
            <c:dispRSqr val="1"/>
            <c:dispEq val="1"/>
            <c:trendlineLbl>
              <c:layout>
                <c:manualLayout>
                  <c:x val="-0.18121630454989776"/>
                  <c:y val="1.8560897972859775E-2"/>
                </c:manualLayout>
              </c:layout>
              <c:numFmt formatCode="#,##0.0000000000" sourceLinked="0"/>
              <c:spPr>
                <a:noFill/>
                <a:ln>
                  <a:noFill/>
                </a:ln>
                <a:effectLst/>
              </c:spPr>
              <c:txPr>
                <a:bodyPr rot="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en-US"/>
                </a:p>
              </c:txPr>
            </c:trendlineLbl>
          </c:trendline>
          <c:xVal>
            <c:numRef>
              <c:f>'NRC 2012'!$B$20:$B$24</c:f>
              <c:numCache>
                <c:formatCode>0.00</c:formatCode>
                <c:ptCount val="5"/>
                <c:pt idx="0">
                  <c:v>18</c:v>
                </c:pt>
                <c:pt idx="1">
                  <c:v>37.5</c:v>
                </c:pt>
                <c:pt idx="2">
                  <c:v>62.5</c:v>
                </c:pt>
                <c:pt idx="3">
                  <c:v>87.5</c:v>
                </c:pt>
                <c:pt idx="4">
                  <c:v>117.5</c:v>
                </c:pt>
              </c:numCache>
            </c:numRef>
          </c:xVal>
          <c:yVal>
            <c:numRef>
              <c:f>'NRC 2012'!$D$20:$D$24</c:f>
              <c:numCache>
                <c:formatCode>0.00</c:formatCode>
                <c:ptCount val="5"/>
                <c:pt idx="0">
                  <c:v>0.33</c:v>
                </c:pt>
                <c:pt idx="1">
                  <c:v>0.31</c:v>
                </c:pt>
                <c:pt idx="2">
                  <c:v>0.27</c:v>
                </c:pt>
                <c:pt idx="3">
                  <c:v>0.24</c:v>
                </c:pt>
                <c:pt idx="4">
                  <c:v>0.21</c:v>
                </c:pt>
              </c:numCache>
            </c:numRef>
          </c:yVal>
          <c:smooth val="0"/>
          <c:extLst>
            <c:ext xmlns:c16="http://schemas.microsoft.com/office/drawing/2014/chart" uri="{C3380CC4-5D6E-409C-BE32-E72D297353CC}">
              <c16:uniqueId val="{00000000-DDBF-744A-AD76-84B5F93391DD}"/>
            </c:ext>
          </c:extLst>
        </c:ser>
        <c:ser>
          <c:idx val="1"/>
          <c:order val="1"/>
          <c:tx>
            <c:strRef>
              <c:f>'NRC 2012'!$B$50</c:f>
              <c:strCache>
                <c:ptCount val="1"/>
                <c:pt idx="0">
                  <c:v>Predicted Y</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'NRC 2012'!$B$20:$B$24</c:f>
              <c:numCache>
                <c:formatCode>0.00</c:formatCode>
                <c:ptCount val="5"/>
                <c:pt idx="0">
                  <c:v>18</c:v>
                </c:pt>
                <c:pt idx="1">
                  <c:v>37.5</c:v>
                </c:pt>
                <c:pt idx="2">
                  <c:v>62.5</c:v>
                </c:pt>
                <c:pt idx="3">
                  <c:v>87.5</c:v>
                </c:pt>
                <c:pt idx="4">
                  <c:v>117.5</c:v>
                </c:pt>
              </c:numCache>
            </c:numRef>
          </c:xVal>
          <c:yVal>
            <c:numRef>
              <c:f>'NRC 2012'!$B$51:$B$55</c:f>
              <c:numCache>
                <c:formatCode>General</c:formatCode>
                <c:ptCount val="5"/>
                <c:pt idx="0">
                  <c:v>0.32987245716485908</c:v>
                </c:pt>
                <c:pt idx="1">
                  <c:v>0.3056554418276326</c:v>
                </c:pt>
                <c:pt idx="2">
                  <c:v>0.27460798626708582</c:v>
                </c:pt>
                <c:pt idx="3">
                  <c:v>0.2435605307065391</c:v>
                </c:pt>
                <c:pt idx="4">
                  <c:v>0.20630358403388302</c:v>
                </c:pt>
              </c:numCache>
            </c:numRef>
          </c:yVal>
          <c:smooth val="0"/>
          <c:extLst>
            <c:ext xmlns:c16="http://schemas.microsoft.com/office/drawing/2014/chart" uri="{C3380CC4-5D6E-409C-BE32-E72D297353CC}">
              <c16:uniqueId val="{00000003-DDBF-744A-AD76-84B5F93391DD}"/>
            </c:ext>
          </c:extLst>
        </c:ser>
        <c:dLbls>
          <c:showLegendKey val="0"/>
          <c:showVal val="0"/>
          <c:showCatName val="0"/>
          <c:showSerName val="0"/>
          <c:showPercent val="0"/>
          <c:showBubbleSize val="0"/>
        </c:dLbls>
        <c:axId val="2036817024"/>
        <c:axId val="2036818704"/>
      </c:scatterChart>
      <c:valAx>
        <c:axId val="20368170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2400" b="1" i="0" u="none" strike="noStrike" kern="1200" baseline="0">
                    <a:solidFill>
                      <a:schemeClr val="tx1">
                        <a:lumMod val="65000"/>
                        <a:lumOff val="35000"/>
                      </a:schemeClr>
                    </a:solidFill>
                    <a:latin typeface="+mn-lt"/>
                    <a:ea typeface="+mn-ea"/>
                    <a:cs typeface="+mn-cs"/>
                  </a:defRPr>
                </a:pPr>
                <a:r>
                  <a:rPr lang="en-US" sz="2400" b="1"/>
                  <a:t>Body Weight, kg</a:t>
                </a:r>
              </a:p>
            </c:rich>
          </c:tx>
          <c:overlay val="0"/>
          <c:spPr>
            <a:noFill/>
            <a:ln>
              <a:noFill/>
            </a:ln>
            <a:effectLst/>
          </c:spPr>
          <c:txPr>
            <a:bodyPr rot="0" spcFirstLastPara="1" vertOverflow="ellipsis" vert="horz" wrap="square" anchor="ctr" anchorCtr="1"/>
            <a:lstStyle/>
            <a:p>
              <a:pPr>
                <a:defRPr sz="2400" b="1"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en-US"/>
          </a:p>
        </c:txPr>
        <c:crossAx val="2036818704"/>
        <c:crosses val="autoZero"/>
        <c:crossBetween val="midCat"/>
      </c:valAx>
      <c:valAx>
        <c:axId val="2036818704"/>
        <c:scaling>
          <c:orientation val="minMax"/>
          <c:min val="0.1500000000000000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2400" b="1" i="0" u="none" strike="noStrike" kern="1200" baseline="0">
                    <a:solidFill>
                      <a:schemeClr val="tx1">
                        <a:lumMod val="65000"/>
                        <a:lumOff val="35000"/>
                      </a:schemeClr>
                    </a:solidFill>
                    <a:latin typeface="+mn-lt"/>
                    <a:ea typeface="+mn-ea"/>
                    <a:cs typeface="+mn-cs"/>
                  </a:defRPr>
                </a:pPr>
                <a:r>
                  <a:rPr lang="en-US" sz="2400" b="1"/>
                  <a:t>STTD P, % of diet</a:t>
                </a:r>
              </a:p>
            </c:rich>
          </c:tx>
          <c:overlay val="0"/>
          <c:spPr>
            <a:noFill/>
            <a:ln>
              <a:noFill/>
            </a:ln>
            <a:effectLst/>
          </c:spPr>
          <c:txPr>
            <a:bodyPr rot="-5400000" spcFirstLastPara="1" vertOverflow="ellipsis" vert="horz" wrap="square" anchor="ctr" anchorCtr="1"/>
            <a:lstStyle/>
            <a:p>
              <a:pPr>
                <a:defRPr sz="2400" b="1"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en-US"/>
          </a:p>
        </c:txPr>
        <c:crossAx val="2036817024"/>
        <c:crosses val="autoZero"/>
        <c:crossBetween val="midCat"/>
        <c:majorUnit val="5.000000000000001E-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2000"/>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2</xdr:col>
      <xdr:colOff>197583</xdr:colOff>
      <xdr:row>2</xdr:row>
      <xdr:rowOff>0</xdr:rowOff>
    </xdr:to>
    <xdr:pic>
      <xdr:nvPicPr>
        <xdr:cNvPr id="2" name="Picture 1">
          <a:extLst>
            <a:ext uri="{FF2B5EF4-FFF2-40B4-BE49-F238E27FC236}">
              <a16:creationId xmlns:a16="http://schemas.microsoft.com/office/drawing/2014/main" id="{88DA3452-2D80-FE4E-9AD9-72C38650A2AA}"/>
            </a:ext>
          </a:extLst>
        </xdr:cNvPr>
        <xdr:cNvPicPr>
          <a:picLocks noChangeAspect="1"/>
        </xdr:cNvPicPr>
      </xdr:nvPicPr>
      <xdr:blipFill>
        <a:blip xmlns:r="http://schemas.openxmlformats.org/officeDocument/2006/relationships" r:embed="rId1"/>
        <a:stretch>
          <a:fillRect/>
        </a:stretch>
      </xdr:blipFill>
      <xdr:spPr>
        <a:xfrm>
          <a:off x="1" y="0"/>
          <a:ext cx="1848582" cy="1104900"/>
        </a:xfrm>
        <a:prstGeom prst="rect">
          <a:avLst/>
        </a:prstGeom>
      </xdr:spPr>
    </xdr:pic>
    <xdr:clientData/>
  </xdr:twoCellAnchor>
  <xdr:twoCellAnchor editAs="oneCell">
    <xdr:from>
      <xdr:col>10</xdr:col>
      <xdr:colOff>101599</xdr:colOff>
      <xdr:row>0</xdr:row>
      <xdr:rowOff>0</xdr:rowOff>
    </xdr:from>
    <xdr:to>
      <xdr:col>11</xdr:col>
      <xdr:colOff>12700</xdr:colOff>
      <xdr:row>2</xdr:row>
      <xdr:rowOff>9525</xdr:rowOff>
    </xdr:to>
    <xdr:pic>
      <xdr:nvPicPr>
        <xdr:cNvPr id="3" name="Picture 2">
          <a:extLst>
            <a:ext uri="{FF2B5EF4-FFF2-40B4-BE49-F238E27FC236}">
              <a16:creationId xmlns:a16="http://schemas.microsoft.com/office/drawing/2014/main" id="{C0B664D9-155A-D24E-8BED-22DECE9278F2}"/>
            </a:ext>
          </a:extLst>
        </xdr:cNvPr>
        <xdr:cNvPicPr>
          <a:picLocks noChangeAspect="1"/>
        </xdr:cNvPicPr>
      </xdr:nvPicPr>
      <xdr:blipFill>
        <a:blip xmlns:r="http://schemas.openxmlformats.org/officeDocument/2006/relationships" r:embed="rId2"/>
        <a:stretch>
          <a:fillRect/>
        </a:stretch>
      </xdr:blipFill>
      <xdr:spPr>
        <a:xfrm>
          <a:off x="8229599" y="0"/>
          <a:ext cx="800101" cy="1165225"/>
        </a:xfrm>
        <a:prstGeom prst="rect">
          <a:avLst/>
        </a:prstGeom>
      </xdr:spPr>
    </xdr:pic>
    <xdr:clientData/>
  </xdr:twoCellAnchor>
  <xdr:twoCellAnchor>
    <xdr:from>
      <xdr:col>0</xdr:col>
      <xdr:colOff>152400</xdr:colOff>
      <xdr:row>2</xdr:row>
      <xdr:rowOff>152401</xdr:rowOff>
    </xdr:from>
    <xdr:to>
      <xdr:col>10</xdr:col>
      <xdr:colOff>923925</xdr:colOff>
      <xdr:row>46</xdr:row>
      <xdr:rowOff>101600</xdr:rowOff>
    </xdr:to>
    <xdr:sp macro="" textlink="">
      <xdr:nvSpPr>
        <xdr:cNvPr id="4" name="TextBox 3">
          <a:extLst>
            <a:ext uri="{FF2B5EF4-FFF2-40B4-BE49-F238E27FC236}">
              <a16:creationId xmlns:a16="http://schemas.microsoft.com/office/drawing/2014/main" id="{3E1A0429-963E-604A-AF3A-15DFF2237D71}"/>
            </a:ext>
          </a:extLst>
        </xdr:cNvPr>
        <xdr:cNvSpPr txBox="1"/>
      </xdr:nvSpPr>
      <xdr:spPr>
        <a:xfrm>
          <a:off x="152400" y="1308101"/>
          <a:ext cx="8899525" cy="88899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i="0" u="none" strike="noStrike">
              <a:solidFill>
                <a:schemeClr val="tx1"/>
              </a:solidFill>
              <a:effectLst/>
              <a:latin typeface="+mn-lt"/>
              <a:ea typeface="+mn-ea"/>
              <a:cs typeface="+mn-cs"/>
            </a:rPr>
            <a:t>Steps to use:</a:t>
          </a:r>
        </a:p>
        <a:p>
          <a:endParaRPr lang="en-US" sz="1400" b="1" i="0" u="none" strike="noStrike">
            <a:solidFill>
              <a:schemeClr val="tx1"/>
            </a:solidFill>
            <a:effectLst/>
            <a:latin typeface="+mn-lt"/>
            <a:ea typeface="+mn-ea"/>
            <a:cs typeface="+mn-cs"/>
          </a:endParaRPr>
        </a:p>
        <a:p>
          <a:r>
            <a:rPr lang="en-US" sz="1400" b="0" i="0" u="none" strike="noStrike">
              <a:solidFill>
                <a:schemeClr val="tx1"/>
              </a:solidFill>
              <a:effectLst/>
              <a:latin typeface="+mn-lt"/>
              <a:ea typeface="+mn-ea"/>
              <a:cs typeface="+mn-cs"/>
            </a:rPr>
            <a:t>1. If using the Metabolizable energy basis, go to the Finisher Model - ME Metric tab.</a:t>
          </a:r>
          <a:r>
            <a:rPr lang="en-US" sz="1400"/>
            <a:t> </a:t>
          </a:r>
        </a:p>
        <a:p>
          <a:r>
            <a:rPr lang="en-US" sz="1400" b="0" i="0" u="none" strike="noStrike">
              <a:solidFill>
                <a:schemeClr val="tx1"/>
              </a:solidFill>
              <a:effectLst/>
              <a:latin typeface="+mn-lt"/>
              <a:ea typeface="+mn-ea"/>
              <a:cs typeface="+mn-cs"/>
            </a:rPr>
            <a:t>2. If using the Net energy basis, go to the Finisher Model - NE Metric tab.</a:t>
          </a:r>
          <a:r>
            <a:rPr lang="en-US" sz="1400"/>
            <a:t> </a:t>
          </a:r>
        </a:p>
        <a:p>
          <a:r>
            <a:rPr lang="en-US" sz="1400" b="0" i="0" u="none" strike="noStrike">
              <a:solidFill>
                <a:schemeClr val="tx1"/>
              </a:solidFill>
              <a:effectLst/>
              <a:latin typeface="+mn-lt"/>
              <a:ea typeface="+mn-ea"/>
              <a:cs typeface="+mn-cs"/>
            </a:rPr>
            <a:t>3. Enter the input parameters in the yellow cells:</a:t>
          </a:r>
          <a:r>
            <a:rPr lang="en-US" sz="1400"/>
            <a:t> </a:t>
          </a:r>
        </a:p>
        <a:p>
          <a:endParaRPr lang="en-US" sz="1400"/>
        </a:p>
        <a:p>
          <a:r>
            <a:rPr lang="en-US" sz="1400" b="0" i="0" u="none" strike="noStrike">
              <a:solidFill>
                <a:schemeClr val="tx1"/>
              </a:solidFill>
              <a:effectLst/>
              <a:latin typeface="+mn-lt"/>
              <a:ea typeface="+mn-ea"/>
              <a:cs typeface="+mn-cs"/>
            </a:rPr>
            <a:t>	Select the desired economic evaluation criteria (live or carcass basis)</a:t>
          </a:r>
        </a:p>
        <a:p>
          <a:r>
            <a:rPr lang="en-US" sz="1400" b="0" i="0" u="none" strike="noStrike">
              <a:solidFill>
                <a:schemeClr val="tx1"/>
              </a:solidFill>
              <a:effectLst/>
              <a:latin typeface="+mn-lt"/>
              <a:ea typeface="+mn-ea"/>
              <a:cs typeface="+mn-cs"/>
            </a:rPr>
            <a:t>		If carcass basis</a:t>
          </a:r>
          <a:r>
            <a:rPr lang="en-US" sz="1400" b="0" i="0" u="none" strike="noStrike" baseline="0">
              <a:solidFill>
                <a:schemeClr val="tx1"/>
              </a:solidFill>
              <a:effectLst/>
              <a:latin typeface="+mn-lt"/>
              <a:ea typeface="+mn-ea"/>
              <a:cs typeface="+mn-cs"/>
            </a:rPr>
            <a:t> is selected, u</a:t>
          </a:r>
          <a:r>
            <a:rPr lang="en-US" sz="1400" b="0" i="0" u="none" strike="noStrike">
              <a:solidFill>
                <a:schemeClr val="tx1"/>
              </a:solidFill>
              <a:effectLst/>
              <a:latin typeface="+mn-lt"/>
              <a:ea typeface="+mn-ea"/>
              <a:cs typeface="+mn-cs"/>
            </a:rPr>
            <a:t>pdate carcass price and the current carcass yield</a:t>
          </a:r>
          <a:r>
            <a:rPr lang="en-US" sz="1400"/>
            <a:t> </a:t>
          </a:r>
        </a:p>
        <a:p>
          <a:r>
            <a:rPr lang="en-US" sz="1400"/>
            <a:t>		If</a:t>
          </a:r>
          <a:r>
            <a:rPr lang="en-US" sz="1400" baseline="0"/>
            <a:t> live basis is selected, update live pig price</a:t>
          </a:r>
          <a:endParaRPr lang="en-US" sz="1400"/>
        </a:p>
        <a:p>
          <a:r>
            <a:rPr lang="en-US" sz="1400" b="0" i="0" u="none" strike="noStrike">
              <a:solidFill>
                <a:schemeClr val="tx1"/>
              </a:solidFill>
              <a:effectLst/>
              <a:latin typeface="+mn-lt"/>
              <a:ea typeface="+mn-ea"/>
              <a:cs typeface="+mn-cs"/>
            </a:rPr>
            <a:t>	Update the facility cost per pig per day	</a:t>
          </a:r>
        </a:p>
        <a:p>
          <a:r>
            <a:rPr lang="en-US" sz="1400" b="0" i="0" u="none" strike="noStrike">
              <a:solidFill>
                <a:schemeClr val="tx1"/>
              </a:solidFill>
              <a:effectLst/>
              <a:latin typeface="+mn-lt"/>
              <a:ea typeface="+mn-ea"/>
              <a:cs typeface="+mn-cs"/>
            </a:rPr>
            <a:t>	Select the desired number of dietary phases</a:t>
          </a:r>
          <a:r>
            <a:rPr lang="en-US" sz="1400"/>
            <a:t> </a:t>
          </a:r>
        </a:p>
        <a:p>
          <a:r>
            <a:rPr lang="en-US" sz="1400" b="0" i="0" u="none" strike="noStrike">
              <a:solidFill>
                <a:schemeClr val="tx1"/>
              </a:solidFill>
              <a:effectLst/>
              <a:latin typeface="+mn-lt"/>
              <a:ea typeface="+mn-ea"/>
              <a:cs typeface="+mn-cs"/>
            </a:rPr>
            <a:t>	</a:t>
          </a:r>
        </a:p>
        <a:p>
          <a:r>
            <a:rPr lang="en-US" sz="1400" b="0" i="0" u="none" strike="noStrike">
              <a:solidFill>
                <a:schemeClr val="tx1"/>
              </a:solidFill>
              <a:effectLst/>
              <a:latin typeface="+mn-lt"/>
              <a:ea typeface="+mn-ea"/>
              <a:cs typeface="+mn-cs"/>
            </a:rPr>
            <a:t>4. Enter your desired body weight ranges for each phase according to the selected number of grow-finish phases</a:t>
          </a:r>
          <a:r>
            <a:rPr lang="en-US" sz="1400"/>
            <a:t> </a:t>
          </a:r>
        </a:p>
        <a:p>
          <a:r>
            <a:rPr lang="en-US" sz="1400" b="0" i="0" u="none" strike="noStrike">
              <a:solidFill>
                <a:schemeClr val="tx1"/>
              </a:solidFill>
              <a:effectLst/>
              <a:latin typeface="+mn-lt"/>
              <a:ea typeface="+mn-ea"/>
              <a:cs typeface="+mn-cs"/>
            </a:rPr>
            <a:t>5. Enter your current dietary energy level for each dietary phase.</a:t>
          </a:r>
          <a:r>
            <a:rPr lang="en-US" sz="1400"/>
            <a:t> </a:t>
          </a:r>
        </a:p>
        <a:p>
          <a:r>
            <a:rPr lang="en-US" sz="1400" b="0" i="0" u="none" strike="noStrike">
              <a:solidFill>
                <a:schemeClr val="tx1"/>
              </a:solidFill>
              <a:effectLst/>
              <a:latin typeface="+mn-lt"/>
              <a:ea typeface="+mn-ea"/>
              <a:cs typeface="+mn-cs"/>
            </a:rPr>
            <a:t>6. Enter your current standardized total tract digestible phosphorus (STTD P, %) for each dietary phase along with the cost per ton</a:t>
          </a:r>
          <a:endParaRPr lang="en-US" sz="1400" b="0" i="0" u="none" strike="noStrike">
            <a:solidFill>
              <a:schemeClr val="dk1"/>
            </a:solidFill>
            <a:effectLst/>
            <a:latin typeface="+mn-lt"/>
            <a:ea typeface="+mn-ea"/>
            <a:cs typeface="+mn-cs"/>
          </a:endParaRPr>
        </a:p>
        <a:p>
          <a:endParaRPr lang="en-US" sz="1400" b="0" i="0" u="none" strike="noStrike">
            <a:solidFill>
              <a:schemeClr val="dk1"/>
            </a:solidFill>
            <a:effectLst/>
            <a:latin typeface="+mn-lt"/>
            <a:ea typeface="+mn-ea"/>
            <a:cs typeface="+mn-cs"/>
          </a:endParaRPr>
        </a:p>
        <a:p>
          <a:r>
            <a:rPr lang="en-US" sz="1400" b="0" i="0" u="none" strike="noStrike">
              <a:solidFill>
                <a:schemeClr val="dk1"/>
              </a:solidFill>
              <a:effectLst/>
              <a:latin typeface="+mn-lt"/>
              <a:ea typeface="+mn-ea"/>
              <a:cs typeface="+mn-cs"/>
            </a:rPr>
            <a:t>	</a:t>
          </a:r>
          <a:r>
            <a:rPr lang="en-US" sz="1400"/>
            <a:t>Dietary costs can be input in local</a:t>
          </a:r>
          <a:r>
            <a:rPr lang="en-US" sz="1400" baseline="0"/>
            <a:t> currency per metric tonne </a:t>
          </a:r>
          <a:endParaRPr lang="en-US" sz="1400"/>
        </a:p>
        <a:p>
          <a:endParaRPr lang="en-US" sz="1400"/>
        </a:p>
        <a:p>
          <a:r>
            <a:rPr lang="en-US" sz="1400" b="0" i="0" u="none" strike="noStrike">
              <a:solidFill>
                <a:schemeClr val="tx1"/>
              </a:solidFill>
              <a:effectLst/>
              <a:latin typeface="+mn-lt"/>
              <a:ea typeface="+mn-ea"/>
              <a:cs typeface="+mn-cs"/>
            </a:rPr>
            <a:t>7. The tool will automatically change the STTD P (%) for maximal growth based on the body weight range and dietary energy (purple cells)</a:t>
          </a:r>
          <a:r>
            <a:rPr lang="en-US" sz="1400"/>
            <a:t> </a:t>
          </a:r>
        </a:p>
        <a:p>
          <a:r>
            <a:rPr lang="en-US" sz="1400" b="0" i="0" u="none" strike="noStrike">
              <a:solidFill>
                <a:schemeClr val="tx1"/>
              </a:solidFill>
              <a:effectLst/>
              <a:latin typeface="+mn-lt"/>
              <a:ea typeface="+mn-ea"/>
              <a:cs typeface="+mn-cs"/>
            </a:rPr>
            <a:t>8. Formulate new diets to the STTD P requirement for maximal growth and enter the cost per ton</a:t>
          </a:r>
          <a:r>
            <a:rPr lang="en-US" sz="1400"/>
            <a:t> of the reformulated diets</a:t>
          </a:r>
        </a:p>
        <a:p>
          <a:endParaRPr lang="en-US" sz="1400"/>
        </a:p>
        <a:p>
          <a:r>
            <a:rPr lang="en-US" sz="1400"/>
            <a:t>	Dietary costs can be input in local currency per metric tonne </a:t>
          </a:r>
        </a:p>
        <a:p>
          <a:endParaRPr lang="en-US" sz="1400"/>
        </a:p>
        <a:p>
          <a:r>
            <a:rPr lang="en-US" sz="1400" b="1"/>
            <a:t>Outputs:</a:t>
          </a:r>
        </a:p>
        <a:p>
          <a:r>
            <a:rPr lang="en-US" sz="1400" b="0" i="0" u="none" strike="noStrike">
              <a:solidFill>
                <a:schemeClr val="tx1"/>
              </a:solidFill>
              <a:effectLst/>
              <a:latin typeface="+mn-lt"/>
              <a:ea typeface="+mn-ea"/>
              <a:cs typeface="+mn-cs"/>
            </a:rPr>
            <a:t>9. The tool outputs the percentage difference</a:t>
          </a:r>
          <a:r>
            <a:rPr lang="en-US" sz="1400" b="0" i="0" u="none" strike="noStrike" baseline="0">
              <a:solidFill>
                <a:schemeClr val="tx1"/>
              </a:solidFill>
              <a:effectLst/>
              <a:latin typeface="+mn-lt"/>
              <a:ea typeface="+mn-ea"/>
              <a:cs typeface="+mn-cs"/>
            </a:rPr>
            <a:t> in </a:t>
          </a:r>
          <a:r>
            <a:rPr lang="en-US" sz="1400" b="0" i="0" u="none" strike="noStrike">
              <a:solidFill>
                <a:schemeClr val="tx1"/>
              </a:solidFill>
              <a:effectLst/>
              <a:latin typeface="+mn-lt"/>
              <a:ea typeface="+mn-ea"/>
              <a:cs typeface="+mn-cs"/>
            </a:rPr>
            <a:t>performance (ADG,</a:t>
          </a:r>
          <a:r>
            <a:rPr lang="en-US" sz="1400" b="0" i="0" u="none" strike="noStrike" baseline="0">
              <a:solidFill>
                <a:schemeClr val="tx1"/>
              </a:solidFill>
              <a:effectLst/>
              <a:latin typeface="+mn-lt"/>
              <a:ea typeface="+mn-ea"/>
              <a:cs typeface="+mn-cs"/>
            </a:rPr>
            <a:t> feed efficiency, and carcass yield) </a:t>
          </a:r>
          <a:r>
            <a:rPr lang="en-US" sz="1400" b="0" i="0" u="none" strike="noStrike">
              <a:solidFill>
                <a:schemeClr val="tx1"/>
              </a:solidFill>
              <a:effectLst/>
              <a:latin typeface="+mn-lt"/>
              <a:ea typeface="+mn-ea"/>
              <a:cs typeface="+mn-cs"/>
            </a:rPr>
            <a:t>for the current diets</a:t>
          </a:r>
          <a:r>
            <a:rPr lang="en-US" sz="1400" b="0" i="0" u="none" strike="noStrike" baseline="0">
              <a:solidFill>
                <a:schemeClr val="tx1"/>
              </a:solidFill>
              <a:effectLst/>
              <a:latin typeface="+mn-lt"/>
              <a:ea typeface="+mn-ea"/>
              <a:cs typeface="+mn-cs"/>
            </a:rPr>
            <a:t> compared to the diets for maximum growth. Note that the STTD P for maximal growth is based on the ADG response. However, this level also meets 100% of the feed efficiency requirement. If the carcass yield entered is 76% or greater, we assume that they are based on carcasses with heads on and thus no impact of phosphorus on yield is considered. </a:t>
          </a:r>
          <a:endParaRPr lang="en-US" sz="1400"/>
        </a:p>
        <a:p>
          <a:r>
            <a:rPr lang="en-US" sz="1400" b="0" i="0" u="none" strike="noStrike">
              <a:solidFill>
                <a:schemeClr val="tx1"/>
              </a:solidFill>
              <a:effectLst/>
              <a:latin typeface="+mn-lt"/>
              <a:ea typeface="+mn-ea"/>
              <a:cs typeface="+mn-cs"/>
            </a:rPr>
            <a:t>10. Then, the tool shows the net profit differencce between the current diets and the maximal</a:t>
          </a:r>
          <a:r>
            <a:rPr lang="en-US" sz="1400" b="0" i="0" u="none" strike="noStrike" baseline="0">
              <a:solidFill>
                <a:schemeClr val="tx1"/>
              </a:solidFill>
              <a:effectLst/>
              <a:latin typeface="+mn-lt"/>
              <a:ea typeface="+mn-ea"/>
              <a:cs typeface="+mn-cs"/>
            </a:rPr>
            <a:t> growth </a:t>
          </a:r>
          <a:r>
            <a:rPr lang="en-US" sz="1400" b="0" i="0" u="none" strike="noStrike">
              <a:solidFill>
                <a:schemeClr val="tx1"/>
              </a:solidFill>
              <a:effectLst/>
              <a:latin typeface="+mn-lt"/>
              <a:ea typeface="+mn-ea"/>
              <a:cs typeface="+mn-cs"/>
            </a:rPr>
            <a:t>diets for both fixed weight and time basis </a:t>
          </a:r>
          <a:r>
            <a:rPr lang="en-US" sz="1400"/>
            <a:t> </a:t>
          </a:r>
        </a:p>
        <a:p>
          <a:r>
            <a:rPr lang="en-US" sz="1400"/>
            <a:t>	The net profit will be outputted either as income over feed cost (IOFC) or income over feed and facility 	costs (IOFFC)</a:t>
          </a:r>
        </a:p>
        <a:p>
          <a:endParaRPr lang="en-US" sz="1400"/>
        </a:p>
        <a:p>
          <a:pPr algn="ctr"/>
          <a:r>
            <a:rPr lang="en-US" sz="1200" baseline="0"/>
            <a:t>*Background performance equations for STTD P are based on a commercial study with 1,134 PIC pigs (Vier et al., 2019; doi: doi:https://doi.org/10.1093/jas/skz256 ). The energy value of ingrediets followed NRC (2012) nutrient loadings. </a:t>
          </a:r>
          <a:endParaRPr lang="en-US" sz="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8</xdr:row>
      <xdr:rowOff>158750</xdr:rowOff>
    </xdr:from>
    <xdr:to>
      <xdr:col>5</xdr:col>
      <xdr:colOff>444500</xdr:colOff>
      <xdr:row>22</xdr:row>
      <xdr:rowOff>57150</xdr:rowOff>
    </xdr:to>
    <xdr:graphicFrame macro="">
      <xdr:nvGraphicFramePr>
        <xdr:cNvPr id="2" name="Chart 1">
          <a:extLst>
            <a:ext uri="{FF2B5EF4-FFF2-40B4-BE49-F238E27FC236}">
              <a16:creationId xmlns:a16="http://schemas.microsoft.com/office/drawing/2014/main" id="{C3AFE1BE-E9C0-9B4C-B50E-9D3EF83EEE0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9</xdr:row>
      <xdr:rowOff>0</xdr:rowOff>
    </xdr:from>
    <xdr:to>
      <xdr:col>10</xdr:col>
      <xdr:colOff>878840</xdr:colOff>
      <xdr:row>22</xdr:row>
      <xdr:rowOff>101600</xdr:rowOff>
    </xdr:to>
    <xdr:graphicFrame macro="">
      <xdr:nvGraphicFramePr>
        <xdr:cNvPr id="5" name="Chart 4">
          <a:extLst>
            <a:ext uri="{FF2B5EF4-FFF2-40B4-BE49-F238E27FC236}">
              <a16:creationId xmlns:a16="http://schemas.microsoft.com/office/drawing/2014/main" id="{37C00C6B-4687-8643-BC3C-DF6A7FB163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222250</xdr:colOff>
      <xdr:row>8</xdr:row>
      <xdr:rowOff>190500</xdr:rowOff>
    </xdr:from>
    <xdr:to>
      <xdr:col>15</xdr:col>
      <xdr:colOff>139700</xdr:colOff>
      <xdr:row>32</xdr:row>
      <xdr:rowOff>76200</xdr:rowOff>
    </xdr:to>
    <xdr:graphicFrame macro="">
      <xdr:nvGraphicFramePr>
        <xdr:cNvPr id="2" name="Chart 1">
          <a:extLst>
            <a:ext uri="{FF2B5EF4-FFF2-40B4-BE49-F238E27FC236}">
              <a16:creationId xmlns:a16="http://schemas.microsoft.com/office/drawing/2014/main" id="{E8299737-3264-234B-BBF1-3EABFA1CBAF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xdr:colOff>
      <xdr:row>0</xdr:row>
      <xdr:rowOff>0</xdr:rowOff>
    </xdr:from>
    <xdr:to>
      <xdr:col>2</xdr:col>
      <xdr:colOff>1138707</xdr:colOff>
      <xdr:row>2</xdr:row>
      <xdr:rowOff>86747</xdr:rowOff>
    </xdr:to>
    <xdr:pic>
      <xdr:nvPicPr>
        <xdr:cNvPr id="3" name="Picture 2">
          <a:extLst>
            <a:ext uri="{FF2B5EF4-FFF2-40B4-BE49-F238E27FC236}">
              <a16:creationId xmlns:a16="http://schemas.microsoft.com/office/drawing/2014/main" id="{646D6941-9B3F-C94C-8F73-86DF59443BA9}"/>
            </a:ext>
          </a:extLst>
        </xdr:cNvPr>
        <xdr:cNvPicPr>
          <a:picLocks noChangeAspect="1"/>
        </xdr:cNvPicPr>
      </xdr:nvPicPr>
      <xdr:blipFill>
        <a:blip xmlns:r="http://schemas.openxmlformats.org/officeDocument/2006/relationships" r:embed="rId1"/>
        <a:stretch>
          <a:fillRect/>
        </a:stretch>
      </xdr:blipFill>
      <xdr:spPr>
        <a:xfrm>
          <a:off x="1" y="0"/>
          <a:ext cx="2346588" cy="1414318"/>
        </a:xfrm>
        <a:prstGeom prst="rect">
          <a:avLst/>
        </a:prstGeom>
      </xdr:spPr>
    </xdr:pic>
    <xdr:clientData/>
  </xdr:twoCellAnchor>
  <xdr:twoCellAnchor editAs="oneCell">
    <xdr:from>
      <xdr:col>9</xdr:col>
      <xdr:colOff>272863</xdr:colOff>
      <xdr:row>0</xdr:row>
      <xdr:rowOff>0</xdr:rowOff>
    </xdr:from>
    <xdr:to>
      <xdr:col>10</xdr:col>
      <xdr:colOff>9525</xdr:colOff>
      <xdr:row>2</xdr:row>
      <xdr:rowOff>12976</xdr:rowOff>
    </xdr:to>
    <xdr:pic>
      <xdr:nvPicPr>
        <xdr:cNvPr id="4" name="Picture 3">
          <a:extLst>
            <a:ext uri="{FF2B5EF4-FFF2-40B4-BE49-F238E27FC236}">
              <a16:creationId xmlns:a16="http://schemas.microsoft.com/office/drawing/2014/main" id="{6F570351-9360-3742-AAA2-6CBCFD80245F}"/>
            </a:ext>
          </a:extLst>
        </xdr:cNvPr>
        <xdr:cNvPicPr>
          <a:picLocks noChangeAspect="1"/>
        </xdr:cNvPicPr>
      </xdr:nvPicPr>
      <xdr:blipFill>
        <a:blip xmlns:r="http://schemas.openxmlformats.org/officeDocument/2006/relationships" r:embed="rId2"/>
        <a:stretch>
          <a:fillRect/>
        </a:stretch>
      </xdr:blipFill>
      <xdr:spPr>
        <a:xfrm>
          <a:off x="10607488" y="0"/>
          <a:ext cx="927287" cy="133695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1138706</xdr:colOff>
      <xdr:row>2</xdr:row>
      <xdr:rowOff>86747</xdr:rowOff>
    </xdr:to>
    <xdr:pic>
      <xdr:nvPicPr>
        <xdr:cNvPr id="9" name="Picture 8">
          <a:extLst>
            <a:ext uri="{FF2B5EF4-FFF2-40B4-BE49-F238E27FC236}">
              <a16:creationId xmlns:a16="http://schemas.microsoft.com/office/drawing/2014/main" id="{64C38EAB-6EE9-444C-A645-A3AB033379FD}"/>
            </a:ext>
          </a:extLst>
        </xdr:cNvPr>
        <xdr:cNvPicPr>
          <a:picLocks noChangeAspect="1"/>
        </xdr:cNvPicPr>
      </xdr:nvPicPr>
      <xdr:blipFill>
        <a:blip xmlns:r="http://schemas.openxmlformats.org/officeDocument/2006/relationships" r:embed="rId1"/>
        <a:stretch>
          <a:fillRect/>
        </a:stretch>
      </xdr:blipFill>
      <xdr:spPr>
        <a:xfrm>
          <a:off x="428625" y="0"/>
          <a:ext cx="2329331" cy="1410722"/>
        </a:xfrm>
        <a:prstGeom prst="rect">
          <a:avLst/>
        </a:prstGeom>
      </xdr:spPr>
    </xdr:pic>
    <xdr:clientData/>
  </xdr:twoCellAnchor>
  <xdr:twoCellAnchor editAs="oneCell">
    <xdr:from>
      <xdr:col>9</xdr:col>
      <xdr:colOff>257175</xdr:colOff>
      <xdr:row>0</xdr:row>
      <xdr:rowOff>0</xdr:rowOff>
    </xdr:from>
    <xdr:to>
      <xdr:col>9</xdr:col>
      <xdr:colOff>1184462</xdr:colOff>
      <xdr:row>2</xdr:row>
      <xdr:rowOff>12976</xdr:rowOff>
    </xdr:to>
    <xdr:pic>
      <xdr:nvPicPr>
        <xdr:cNvPr id="10" name="Picture 9">
          <a:extLst>
            <a:ext uri="{FF2B5EF4-FFF2-40B4-BE49-F238E27FC236}">
              <a16:creationId xmlns:a16="http://schemas.microsoft.com/office/drawing/2014/main" id="{7AADF754-4088-4CE1-BEE7-F1A20699CD08}"/>
            </a:ext>
          </a:extLst>
        </xdr:cNvPr>
        <xdr:cNvPicPr>
          <a:picLocks noChangeAspect="1"/>
        </xdr:cNvPicPr>
      </xdr:nvPicPr>
      <xdr:blipFill>
        <a:blip xmlns:r="http://schemas.openxmlformats.org/officeDocument/2006/relationships" r:embed="rId2"/>
        <a:stretch>
          <a:fillRect/>
        </a:stretch>
      </xdr:blipFill>
      <xdr:spPr>
        <a:xfrm>
          <a:off x="10591800" y="0"/>
          <a:ext cx="927287" cy="133695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nsplc-my.sharepoint.com/C:/Users/Arkin/Desktop/New%20Horizon%20Trial/Drug%20Cost%20Calculator%20V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ed drugs"/>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person displayName="Microsoft Office User" id="{E7FFACB8-8E38-384B-984E-0F4C5A5312D2}" userId="Microsoft Office User"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4" dT="2019-02-08T02:00:49.34" personId="{E7FFACB8-8E38-384B-984E-0F4C5A5312D2}" id="{0C994C5E-877C-9242-BED3-13D4C529861D}">
    <text>130% of NRC</text>
  </threadedComment>
  <threadedComment ref="F5" dT="2019-02-08T02:01:02.45" personId="{E7FFACB8-8E38-384B-984E-0F4C5A5312D2}" id="{815B5D1B-8387-0044-B93B-CA72BAB376AC}">
    <text>122% of NRC</text>
  </threadedComment>
  <threadedComment ref="F6" dT="2019-02-08T02:01:11.03" personId="{E7FFACB8-8E38-384B-984E-0F4C5A5312D2}" id="{CD01D79B-E65E-504B-A0F6-EF2EDF04FFDA}">
    <text>122% of NRC</text>
  </threadedComment>
  <threadedComment ref="F7" dT="2019-02-08T02:01:21.21" personId="{E7FFACB8-8E38-384B-984E-0F4C5A5312D2}" id="{C7855A2D-6AAA-194D-A78F-4487020A4B23}">
    <text>122% of NRC</text>
  </threadedComment>
  <threadedComment ref="F8" dT="2019-02-08T02:01:34.23" personId="{E7FFACB8-8E38-384B-984E-0F4C5A5312D2}" id="{36FA5F58-5763-C949-A8A3-82296772F339}">
    <text>122% of NRC</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80362-0ECF-0740-AB65-8C116D1AE7DA}">
  <sheetPr codeName="Sheet1"/>
  <dimension ref="A1:M2"/>
  <sheetViews>
    <sheetView tabSelected="1" topLeftCell="A10" zoomScaleNormal="100" workbookViewId="0">
      <selection activeCell="L10" sqref="L10"/>
    </sheetView>
  </sheetViews>
  <sheetFormatPr defaultColWidth="10.625" defaultRowHeight="15.75"/>
  <cols>
    <col min="1" max="7" width="10.625" style="57"/>
    <col min="8" max="8" width="14.625" style="57" customWidth="1"/>
    <col min="9" max="9" width="10.625" style="57"/>
    <col min="10" max="10" width="10.625" style="57" customWidth="1"/>
    <col min="11" max="11" width="11.625" style="57" customWidth="1"/>
    <col min="12" max="16384" width="10.625" style="57"/>
  </cols>
  <sheetData>
    <row r="1" spans="1:13" ht="20.25">
      <c r="A1" s="245" t="s">
        <v>217</v>
      </c>
      <c r="B1" s="245"/>
      <c r="C1" s="245"/>
      <c r="D1" s="245"/>
      <c r="E1" s="245"/>
      <c r="F1" s="245"/>
      <c r="G1" s="245"/>
      <c r="H1" s="245"/>
      <c r="I1" s="245"/>
      <c r="J1" s="245"/>
      <c r="K1" s="245"/>
      <c r="L1" s="59"/>
      <c r="M1" s="59"/>
    </row>
    <row r="2" spans="1:13" ht="71.099999999999994" customHeight="1">
      <c r="A2" s="245"/>
      <c r="B2" s="245"/>
      <c r="C2" s="245"/>
      <c r="D2" s="245"/>
      <c r="E2" s="245"/>
      <c r="F2" s="245"/>
      <c r="G2" s="245"/>
      <c r="H2" s="245"/>
      <c r="I2" s="245"/>
      <c r="J2" s="245"/>
      <c r="K2" s="245"/>
    </row>
  </sheetData>
  <sheetProtection algorithmName="SHA-512" hashValue="CMT50ihyFEiWwiOH3+LTwYO1ep7qXla5g7aNE0Y7mIJKS35eMn6Hs0uRaShjWmnvIBztOMezwjlwVRkELHMb3w==" saltValue="jgKQMsTpk4xUJJomRIRYRA==" spinCount="100000" sheet="1" objects="1" scenarios="1"/>
  <mergeCells count="1">
    <mergeCell ref="A1:K2"/>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DDB62-B925-F54C-A878-AFD5F5DE2385}">
  <sheetPr codeName="Sheet10">
    <tabColor rgb="FFFF0000"/>
  </sheetPr>
  <dimension ref="A1:P121"/>
  <sheetViews>
    <sheetView topLeftCell="A11" zoomScale="85" zoomScaleNormal="85" workbookViewId="0">
      <selection activeCell="E87" sqref="E87:I95"/>
    </sheetView>
  </sheetViews>
  <sheetFormatPr defaultColWidth="10.625" defaultRowHeight="15.75"/>
  <cols>
    <col min="1" max="1" width="68.125" bestFit="1" customWidth="1"/>
    <col min="2" max="2" width="11.125" customWidth="1"/>
    <col min="3" max="3" width="11.625" bestFit="1" customWidth="1"/>
    <col min="4" max="4" width="11" bestFit="1" customWidth="1"/>
    <col min="5" max="6" width="11.625" bestFit="1" customWidth="1"/>
    <col min="7" max="7" width="11.625" customWidth="1"/>
    <col min="10" max="10" width="32.125" customWidth="1"/>
    <col min="11" max="11" width="13.625" bestFit="1" customWidth="1"/>
    <col min="12" max="12" width="13.625" customWidth="1"/>
  </cols>
  <sheetData>
    <row r="1" spans="1:16" ht="21">
      <c r="A1" s="290" t="s">
        <v>26</v>
      </c>
      <c r="B1" s="290"/>
      <c r="C1" s="290"/>
      <c r="D1" s="290"/>
      <c r="E1" s="290"/>
      <c r="F1" s="290"/>
      <c r="G1" s="290"/>
      <c r="H1" s="290"/>
      <c r="I1" s="290"/>
      <c r="J1" s="290"/>
      <c r="K1" s="290"/>
      <c r="L1" s="290"/>
      <c r="M1" s="290"/>
      <c r="N1" s="290"/>
      <c r="O1" s="290"/>
    </row>
    <row r="2" spans="1:16">
      <c r="A2" s="291" t="s">
        <v>27</v>
      </c>
      <c r="B2" s="293" t="s">
        <v>28</v>
      </c>
      <c r="C2" s="293"/>
      <c r="D2" s="293"/>
      <c r="E2" s="293"/>
      <c r="F2" s="293"/>
      <c r="G2" s="293"/>
      <c r="H2" s="2"/>
      <c r="I2" s="2"/>
      <c r="J2" s="293" t="s">
        <v>29</v>
      </c>
      <c r="K2" s="293"/>
      <c r="L2" s="80"/>
      <c r="M2" s="2"/>
      <c r="N2" s="2"/>
      <c r="O2" s="2"/>
    </row>
    <row r="3" spans="1:16">
      <c r="A3" s="291"/>
      <c r="B3" s="293"/>
      <c r="C3" s="293"/>
      <c r="D3" s="293"/>
      <c r="E3" s="293"/>
      <c r="F3" s="293"/>
      <c r="G3" s="293"/>
      <c r="H3" s="2"/>
      <c r="I3" s="2"/>
      <c r="J3" s="293"/>
      <c r="K3" s="293"/>
      <c r="L3" s="80"/>
      <c r="M3" s="2"/>
      <c r="N3" s="2"/>
      <c r="O3" s="2"/>
    </row>
    <row r="4" spans="1:16">
      <c r="A4" s="291"/>
      <c r="B4" s="75">
        <v>1</v>
      </c>
      <c r="C4" s="75">
        <v>2</v>
      </c>
      <c r="D4" s="75">
        <v>3</v>
      </c>
      <c r="E4" s="75">
        <v>4</v>
      </c>
      <c r="F4" s="75">
        <v>5</v>
      </c>
      <c r="G4" s="75">
        <v>6</v>
      </c>
      <c r="H4" s="2"/>
      <c r="I4" s="2"/>
      <c r="J4" s="2" t="s">
        <v>27</v>
      </c>
      <c r="K4" s="2" t="s">
        <v>30</v>
      </c>
      <c r="L4" s="2">
        <v>2</v>
      </c>
      <c r="M4" s="2">
        <v>3</v>
      </c>
      <c r="N4" s="2">
        <v>4</v>
      </c>
      <c r="O4" s="2">
        <v>5</v>
      </c>
      <c r="P4" s="2">
        <v>6</v>
      </c>
    </row>
    <row r="5" spans="1:16">
      <c r="A5" t="s">
        <v>177</v>
      </c>
      <c r="B5" s="3">
        <f>'Finisher Model - ME Metric'!C15</f>
        <v>23</v>
      </c>
      <c r="C5" s="3">
        <f>'Finisher Model - ME Metric'!C16</f>
        <v>41</v>
      </c>
      <c r="D5" s="3">
        <f>'Finisher Model - ME Metric'!C17</f>
        <v>59</v>
      </c>
      <c r="E5" s="3">
        <f>'Finisher Model - ME Metric'!C18</f>
        <v>82</v>
      </c>
      <c r="F5" s="3">
        <f>'Finisher Model - ME Metric'!C19</f>
        <v>104</v>
      </c>
      <c r="G5" s="3" t="str">
        <f>'Finisher Model - ME Metric'!C20</f>
        <v/>
      </c>
      <c r="J5" s="105" t="s">
        <v>48</v>
      </c>
    </row>
    <row r="6" spans="1:16">
      <c r="A6" t="s">
        <v>178</v>
      </c>
      <c r="B6" s="3">
        <f>'Finisher Model - ME Metric'!D15</f>
        <v>41</v>
      </c>
      <c r="C6" s="3">
        <f>'Finisher Model - ME Metric'!D16</f>
        <v>59</v>
      </c>
      <c r="D6" s="3">
        <f>'Finisher Model - ME Metric'!D17</f>
        <v>82</v>
      </c>
      <c r="E6" s="3">
        <f>'Finisher Model - ME Metric'!D18</f>
        <v>104</v>
      </c>
      <c r="F6" s="3">
        <f>'Finisher Model - ME Metric'!D19</f>
        <v>130</v>
      </c>
      <c r="G6" s="3">
        <f>'Finisher Model - ME Metric'!D20</f>
        <v>0</v>
      </c>
      <c r="J6" t="s">
        <v>186</v>
      </c>
      <c r="K6" s="74">
        <f>IF('Finisher Model - ME Metric'!$E$11=2,L6,IF('Finisher Model - ME Metric'!$E$11=3,M6,IF('Finisher Model - ME Metric'!$E$11=4,N6,IF('Finisher Model - ME Metric'!$E$11=5,O6,IF('Finisher Model - ME Metric'!$E$11=6,P6,"")))))</f>
        <v>0.97649010288861604</v>
      </c>
      <c r="L6">
        <f>((SUM($B$22:$C$22)/SUM(B16:C16)))</f>
        <v>0.97656300820296382</v>
      </c>
      <c r="M6">
        <f>((SUM($B$22:$D$22)/SUM(B16:D16)))</f>
        <v>0.97647885820471536</v>
      </c>
      <c r="N6">
        <f>((SUM($B$22:$E$22)/SUM(B16:E16)))</f>
        <v>0.97640685981309916</v>
      </c>
      <c r="O6">
        <f>((SUM($B$22:$F$22)/SUM(B16:F16)))</f>
        <v>0.97649010288861604</v>
      </c>
      <c r="P6" t="e">
        <f>((SUM($B$22:$G$22)/SUM(B16:G16)))</f>
        <v>#VALUE!</v>
      </c>
    </row>
    <row r="7" spans="1:16">
      <c r="A7" t="s">
        <v>185</v>
      </c>
      <c r="B7" s="3">
        <f>B6-B5</f>
        <v>18</v>
      </c>
      <c r="C7" s="3">
        <f t="shared" ref="C7:G7" si="0">C6-C5</f>
        <v>18</v>
      </c>
      <c r="D7" s="3">
        <f t="shared" si="0"/>
        <v>23</v>
      </c>
      <c r="E7" s="3">
        <f t="shared" si="0"/>
        <v>22</v>
      </c>
      <c r="F7" s="3">
        <f t="shared" si="0"/>
        <v>26</v>
      </c>
      <c r="G7" s="3" t="e">
        <f t="shared" si="0"/>
        <v>#VALUE!</v>
      </c>
      <c r="J7" t="s">
        <v>40</v>
      </c>
      <c r="K7" s="95">
        <f>IF('Finisher Model - ME Metric'!$E$11=2,L7,IF('Finisher Model - ME Metric'!$E$11=3,M7,IF('Finisher Model - ME Metric'!$E$11=4,N7,IF('Finisher Model - ME Metric'!$E$11=5,O7,IF('Finisher Model - ME Metric'!$E$11=6,P7,"")))))</f>
        <v>2.4896672193744878</v>
      </c>
      <c r="L7">
        <f>SUM($B$18:$C$18)/SUM($B$22:$C$22)</f>
        <v>1.9330742588714409</v>
      </c>
      <c r="M7">
        <f>SUM($B$18:$D$18)/SUM($B$22:$D$22)</f>
        <v>2.1133790207245404</v>
      </c>
      <c r="N7">
        <f>SUM($B$18:$E$18)/SUM($B$22:$E$22)</f>
        <v>2.2858444451057673</v>
      </c>
      <c r="O7">
        <f>SUM($B$18:$F$18)/SUM($B$22:$F$22)</f>
        <v>2.4896672193744878</v>
      </c>
      <c r="P7" t="e">
        <f>SUM($B$18:$G$18)/SUM($B$22:$G$22)</f>
        <v>#VALUE!</v>
      </c>
    </row>
    <row r="8" spans="1:16">
      <c r="A8" t="s">
        <v>31</v>
      </c>
      <c r="B8" s="4">
        <f>'Finisher Model - ME Metric'!E15</f>
        <v>3300</v>
      </c>
      <c r="C8" s="4">
        <f>'Finisher Model - ME Metric'!E16</f>
        <v>3300</v>
      </c>
      <c r="D8" s="4">
        <f>'Finisher Model - ME Metric'!E17</f>
        <v>3300</v>
      </c>
      <c r="E8" s="4">
        <f>'Finisher Model - ME Metric'!E18</f>
        <v>3300</v>
      </c>
      <c r="F8" s="4">
        <f>'Finisher Model - ME Metric'!E19</f>
        <v>3300</v>
      </c>
      <c r="G8" s="4">
        <f>'Finisher Model - ME Metric'!E20</f>
        <v>0</v>
      </c>
      <c r="J8" t="s">
        <v>183</v>
      </c>
      <c r="K8" s="95">
        <f>IF('Finisher Model - ME Metric'!$E$11=2,L8,IF('Finisher Model - ME Metric'!$E$11=3,M8,IF('Finisher Model - ME Metric'!$E$11=4,N8,IF('Finisher Model - ME Metric'!$E$11=5,O8,IF('Finisher Model - ME Metric'!$E$11=6,P8,"")))))</f>
        <v>2.4311353992054081</v>
      </c>
      <c r="L8">
        <f>SUM(B18:C18)/SUM(B16:C16)</f>
        <v>1.8877688133232093</v>
      </c>
      <c r="M8">
        <f>SUM(B18:D18)/SUM(B16:D16)</f>
        <v>2.0636699331108987</v>
      </c>
      <c r="N8">
        <f>SUM(B18:E18)/SUM(B16:E16)</f>
        <v>2.231914196666938</v>
      </c>
      <c r="O8">
        <f>SUM(B18:F18)/SUM(B16:F16)</f>
        <v>2.4311353992054081</v>
      </c>
      <c r="P8" t="e">
        <f>SUM(B18:G18)/SUM(B16:G16)</f>
        <v>#VALUE!</v>
      </c>
    </row>
    <row r="9" spans="1:16">
      <c r="A9" t="s">
        <v>32</v>
      </c>
      <c r="B9" s="5">
        <f>'Finisher Model - ME Metric'!J15</f>
        <v>403.74493250000006</v>
      </c>
      <c r="C9" s="5">
        <f>'Finisher Model - ME Metric'!J16</f>
        <v>379.39788125000007</v>
      </c>
      <c r="D9" s="5">
        <f>'Finisher Model - ME Metric'!J17</f>
        <v>358.10971249999994</v>
      </c>
      <c r="E9" s="5">
        <f>'Finisher Model - ME Metric'!J18</f>
        <v>343.00820250000004</v>
      </c>
      <c r="F9" s="5">
        <f>'Finisher Model - ME Metric'!J19</f>
        <v>334.32758999999999</v>
      </c>
      <c r="G9" s="5">
        <f>'Finisher Model - ME Metric'!J20</f>
        <v>0</v>
      </c>
      <c r="J9" s="17" t="s">
        <v>41</v>
      </c>
      <c r="K9" s="95">
        <f>IF('Finisher Model - ME Metric'!$E$11=2,L9,IF('Finisher Model - ME Metric'!$E$11=3,M9,IF('Finisher Model - ME Metric'!$E$11=4,N9,IF('Finisher Model - ME Metric'!$E$11=5,O9,IF('Finisher Model - ME Metric'!$E$11=6,P9,"")))))</f>
        <v>109.57612338668528</v>
      </c>
      <c r="L9" s="15">
        <f>SUM(B16:C16)</f>
        <v>36.863980815990466</v>
      </c>
      <c r="M9" s="17">
        <f>SUM(B16:D16)</f>
        <v>60.421175025205571</v>
      </c>
      <c r="N9" s="17">
        <f>SUM(B16:E16)</f>
        <v>82.957221352894607</v>
      </c>
      <c r="O9" s="17">
        <f>SUM(B16:F16)</f>
        <v>109.57612338668528</v>
      </c>
      <c r="P9" s="15" t="e">
        <f>SUM(B16:G16)</f>
        <v>#VALUE!</v>
      </c>
    </row>
    <row r="10" spans="1:16">
      <c r="A10" t="s">
        <v>180</v>
      </c>
      <c r="B10" s="3">
        <f>AVERAGE(B5:B6)</f>
        <v>32</v>
      </c>
      <c r="C10" s="3">
        <f t="shared" ref="C10:E10" si="1">AVERAGE(C5:C6)</f>
        <v>50</v>
      </c>
      <c r="D10" s="3">
        <f t="shared" si="1"/>
        <v>70.5</v>
      </c>
      <c r="E10" s="3">
        <f t="shared" si="1"/>
        <v>93</v>
      </c>
      <c r="F10" s="3">
        <f>AVERAGE(F5:F6)</f>
        <v>117</v>
      </c>
      <c r="G10" s="3">
        <f>AVERAGE(G5:G6)</f>
        <v>0</v>
      </c>
      <c r="J10" s="17" t="s">
        <v>184</v>
      </c>
      <c r="K10" s="95">
        <f>IF('Finisher Model - ME Metric'!$E$11=2,L10,IF('Finisher Model - ME Metric'!$E$11=3,M10,IF('Finisher Model - ME Metric'!$E$11=4,N10,IF('Finisher Model - ME Metric'!$E$11=5,O10,IF('Finisher Model - ME Metric'!$E$11=6,P10,"")))))</f>
        <v>266.39439247307018</v>
      </c>
      <c r="L10" s="26">
        <f>SUM(B18:C18)</f>
        <v>69.590673319371874</v>
      </c>
      <c r="M10" s="26">
        <f>SUM(B18:D18)</f>
        <v>124.68936222274789</v>
      </c>
      <c r="N10" s="26">
        <f>SUM(B18:E18)</f>
        <v>185.15340005356714</v>
      </c>
      <c r="O10" s="26">
        <f>SUM(B18:F18)</f>
        <v>266.39439247307018</v>
      </c>
      <c r="P10" s="26">
        <f>SUM(B18:G18)</f>
        <v>-33.822727004710259</v>
      </c>
    </row>
    <row r="11" spans="1:16">
      <c r="A11" t="s">
        <v>56</v>
      </c>
      <c r="B11" s="9">
        <f>IFERROR(651.36+531.33*'Finisher Model - ME Metric'!Q61-216.9*('Finisher Model - ME Metric'!Q61*'Finisher Model - ME Metric'!Q61),"")</f>
        <v>976.38518045127887</v>
      </c>
      <c r="C11" s="9">
        <f>IFERROR(651.36+531.33*'Finisher Model - ME Metric'!Q62-216.9*('Finisher Model - ME Metric'!Q62*'Finisher Model - ME Metric'!Q62),"")</f>
        <v>976.74090074151854</v>
      </c>
      <c r="D11" s="9">
        <f>IFERROR(651.36+531.33*'Finisher Model - ME Metric'!Q63-216.9*('Finisher Model - ME Metric'!Q63*'Finisher Model - ME Metric'!Q63),"")</f>
        <v>976.34717427438181</v>
      </c>
      <c r="E11" s="9">
        <f>IFERROR(651.36+531.33*'Finisher Model - ME Metric'!Q64-216.9*('Finisher Model - ME Metric'!Q64*'Finisher Model - ME Metric'!Q64),"")</f>
        <v>976.21382562431052</v>
      </c>
      <c r="F11" s="9">
        <f>IFERROR(651.36+531.33*'Finisher Model - ME Metric'!Q65-216.9*('Finisher Model - ME Metric'!Q65*'Finisher Model - ME Metric'!Q65),"")</f>
        <v>976.74952809830302</v>
      </c>
      <c r="G11" s="9" t="str">
        <f>IFERROR(651.36+531.33*'Finisher Model - ME Metric'!Q66-216.9*('Finisher Model - ME Metric'!Q66*'Finisher Model - ME Metric'!Q66),"")</f>
        <v/>
      </c>
      <c r="H11" s="23"/>
      <c r="J11" s="17" t="s">
        <v>42</v>
      </c>
      <c r="K11" s="95">
        <f>IF('Finisher Model - ME Metric'!$E$11=2,L11,IF('Finisher Model - ME Metric'!$E$11=3,M11,IF('Finisher Model - ME Metric'!$E$11=4,N11,IF('Finisher Model - ME Metric'!$E$11=5,O11,IF('Finisher Model - ME Metric'!$E$11=6,P11,"")))))</f>
        <v>104.54246908162642</v>
      </c>
      <c r="L11" s="15">
        <f>SUM(B20:C20)</f>
        <v>29.975609346921939</v>
      </c>
      <c r="M11" s="15">
        <f>SUM(B20:D20)</f>
        <v>51.73015801540587</v>
      </c>
      <c r="N11" s="17">
        <f>SUM(B20:E20)</f>
        <v>74.59637734533014</v>
      </c>
      <c r="O11" s="17">
        <f>SUM(B20:F20)</f>
        <v>104.54246908162642</v>
      </c>
      <c r="P11" s="15">
        <f>SUM(B20:G20)</f>
        <v>104.54246908162642</v>
      </c>
    </row>
    <row r="12" spans="1:16" ht="16.5" thickBot="1">
      <c r="A12" t="s">
        <v>57</v>
      </c>
      <c r="B12" s="9">
        <f>IFERROR(338.34+108.98*'Finisher Model - ME Metric'!Q61-46.7864*('Finisher Model - ME Metric'!Q61*'Finisher Model - ME Metric'!Q61),"")</f>
        <v>401.32105977709807</v>
      </c>
      <c r="C12" s="9">
        <f>IFERROR(338.34+108.98*'Finisher Model - ME Metric'!Q62-46.7864*('Finisher Model - ME Metric'!Q62*'Finisher Model - ME Metric'!Q62),"")</f>
        <v>401.67311598237166</v>
      </c>
      <c r="D12" s="9">
        <f>IFERROR(338.34+108.98*'Finisher Model - ME Metric'!Q63-46.7864*('Finisher Model - ME Metric'!Q63*'Finisher Model - ME Metric'!Q63),"")</f>
        <v>401.78870264724287</v>
      </c>
      <c r="E12" s="9">
        <f>IFERROR(338.34+108.98*'Finisher Model - ME Metric'!Q64-46.7864*('Finisher Model - ME Metric'!Q64*'Finisher Model - ME Metric'!Q64),"")</f>
        <v>401.79708726836304</v>
      </c>
      <c r="F12" s="9">
        <f>IFERROR(338.34+108.98*'Finisher Model - ME Metric'!Q65-46.7864*('Finisher Model - ME Metric'!Q65*'Finisher Model - ME Metric'!Q65),"")</f>
        <v>401.65641054415255</v>
      </c>
      <c r="G12" s="9" t="str">
        <f>IFERROR(338.34+108.98*'Finisher Model - ME Metric'!Q66-46.7864*('Finisher Model - ME Metric'!Q66*'Finisher Model - ME Metric'!Q66),"")</f>
        <v/>
      </c>
      <c r="J12" s="1" t="s">
        <v>43</v>
      </c>
      <c r="K12" s="20">
        <f>IF('Finisher Model - ME Metric'!$E$11=2,L12,IF('Finisher Model - ME Metric'!$E$11=3,M12,IF('Finisher Model - ME Metric'!$E$11=4,N12,IF('Finisher Model - ME Metric'!$E$11=5,O12,IF('Finisher Model - ME Metric'!$E$11=6,P12,"")))))</f>
        <v>122.07464882349606</v>
      </c>
      <c r="L12" s="16">
        <f>SUM(B26:C26)</f>
        <v>35.873846277480411</v>
      </c>
      <c r="M12" s="16">
        <f>SUM(B26:D26)</f>
        <v>61.397546019438764</v>
      </c>
      <c r="N12" s="1">
        <f>SUM(B26:E26)</f>
        <v>87.86953276179328</v>
      </c>
      <c r="O12" s="16">
        <f>SUM(B26:F26)</f>
        <v>122.07464882349606</v>
      </c>
      <c r="P12" s="16" t="e">
        <f>SUM(B26:G26)</f>
        <v>#VALUE!</v>
      </c>
    </row>
    <row r="13" spans="1:16">
      <c r="A13" t="s">
        <v>58</v>
      </c>
      <c r="B13" s="6">
        <f t="shared" ref="B13:G13" si="2">(B11/B12)*1000</f>
        <v>2432.9278433421441</v>
      </c>
      <c r="C13" s="6">
        <f t="shared" si="2"/>
        <v>2431.68104082023</v>
      </c>
      <c r="D13" s="6">
        <f t="shared" si="2"/>
        <v>2430.001560127444</v>
      </c>
      <c r="E13" s="6">
        <f t="shared" si="2"/>
        <v>2429.6189707624499</v>
      </c>
      <c r="F13" s="6">
        <f t="shared" si="2"/>
        <v>2431.8036571980288</v>
      </c>
      <c r="G13" s="6" t="e">
        <f t="shared" si="2"/>
        <v>#VALUE!</v>
      </c>
      <c r="J13" t="s">
        <v>50</v>
      </c>
      <c r="K13" s="95">
        <f>IF('Finisher Model - ME Metric'!$E$11=2,L13,IF('Finisher Model - ME Metric'!$E$11=3,M13,IF('Finisher Model - ME Metric'!$E$11=4,N13,IF('Finisher Model - ME Metric'!$E$11=5,O13,IF('Finisher Model - ME Metric'!$E$11=6,P13,"")))))</f>
        <v>195</v>
      </c>
      <c r="L13" s="10">
        <f>SUM(B22:C22,'Finisher Model - ME Metric'!C15)*'Finisher Model - ME Metric'!E7</f>
        <v>88.5</v>
      </c>
      <c r="M13" s="10">
        <f>SUM(B22:D22,'Finisher Model - ME Metric'!C15)*'Finisher Model - ME Metric'!E7</f>
        <v>123</v>
      </c>
      <c r="N13" s="10">
        <f>SUM(B22:E22,'Finisher Model - ME Metric'!C15)*'Finisher Model - ME Metric'!E7</f>
        <v>156</v>
      </c>
      <c r="O13" s="10">
        <f>SUM(B22:F22,'Finisher Model - ME Metric'!C15)*'Finisher Model - ME Metric'!E7</f>
        <v>195</v>
      </c>
      <c r="P13" s="10" t="e">
        <f>SUM(B22:G22,'Finisher Model - ME Metric'!C15)*'Finisher Model - ME Metric'!E7</f>
        <v>#VALUE!</v>
      </c>
    </row>
    <row r="14" spans="1:16">
      <c r="A14" t="s">
        <v>60</v>
      </c>
      <c r="B14" s="74">
        <f>B13/B11</f>
        <v>2.4917705553638787</v>
      </c>
      <c r="C14" s="74">
        <f t="shared" ref="C14:G14" si="3">C13/C11</f>
        <v>2.4895865822493515</v>
      </c>
      <c r="D14" s="74">
        <f t="shared" si="3"/>
        <v>2.4888703774181695</v>
      </c>
      <c r="E14" s="74">
        <f t="shared" si="3"/>
        <v>2.4888184401697591</v>
      </c>
      <c r="F14" s="74">
        <f t="shared" si="3"/>
        <v>2.4896901275526235</v>
      </c>
      <c r="G14" s="74" t="e">
        <f t="shared" si="3"/>
        <v>#VALUE!</v>
      </c>
      <c r="J14" s="17" t="s">
        <v>44</v>
      </c>
      <c r="K14" s="95">
        <f>IF('Finisher Model - ME Metric'!$E$11=2,L14,IF('Finisher Model - ME Metric'!$E$11=3,M14,IF('Finisher Model - ME Metric'!$E$11=4,N14,IF('Finisher Model - ME Metric'!$E$11=5,O14,IF('Finisher Model - ME Metric'!$E$11=6,P14,"")))))</f>
        <v>90.457530918373578</v>
      </c>
      <c r="L14" s="14">
        <f>L13-L11</f>
        <v>58.524390653078058</v>
      </c>
      <c r="M14" s="14">
        <f>M13-M11</f>
        <v>71.269841984594137</v>
      </c>
      <c r="N14" s="14">
        <f t="shared" ref="N14:O14" si="4">N13-N11</f>
        <v>81.40362265466986</v>
      </c>
      <c r="O14" s="14">
        <f t="shared" si="4"/>
        <v>90.457530918373578</v>
      </c>
      <c r="P14" s="14" t="e">
        <f>P13-P11</f>
        <v>#VALUE!</v>
      </c>
    </row>
    <row r="15" spans="1:16" ht="16.5" thickBot="1">
      <c r="A15" t="s">
        <v>73</v>
      </c>
      <c r="B15" s="43">
        <f>IF('Finisher Model - ME Metric'!E11=2,SUMPRODUCT(B14:C14,B16:C16)/SUM(B16:C16),IF('Finisher Model - ME Metric'!E11=3,SUMPRODUCT(B14:D14,B16:D16)/SUM(B16:D16),IF('Finisher Model - ME Metric'!E11=4,SUMPRODUCT(B14:E14,B16:E16)/SUM(B16:E16),IF('Finisher Model - ME Metric'!E11=5,SUMPRODUCT(B14:F14,B16:F16)/SUM(B16:F16),IF('Finisher Model - ME Metric'!E11=6,SUMPRODUCT(B14:G14,B16:G16)/SUM(B16:G16),"")))))</f>
        <v>2.4896672193744886</v>
      </c>
      <c r="C15" s="74"/>
      <c r="D15" s="74"/>
      <c r="E15" s="74"/>
      <c r="F15" s="74"/>
      <c r="G15" s="74"/>
      <c r="J15" s="1" t="s">
        <v>45</v>
      </c>
      <c r="K15" s="20">
        <f>IF('Finisher Model - ME Metric'!$E$11=2,L15,IF('Finisher Model - ME Metric'!$E$11=3,M15,IF('Finisher Model - ME Metric'!$E$11=4,N15,IF('Finisher Model - ME Metric'!$E$11=5,O15,IF('Finisher Model - ME Metric'!$E$11=6,P15,"")))))</f>
        <v>72.925351176503938</v>
      </c>
      <c r="L15" s="16">
        <f>L13-L12</f>
        <v>52.626153722519589</v>
      </c>
      <c r="M15" s="16">
        <f>M13-M12</f>
        <v>61.602453980561236</v>
      </c>
      <c r="N15" s="16">
        <f t="shared" ref="N15:O15" si="5">N13-N12</f>
        <v>68.13046723820672</v>
      </c>
      <c r="O15" s="16">
        <f t="shared" si="5"/>
        <v>72.925351176503938</v>
      </c>
      <c r="P15" s="16" t="e">
        <f>P13-P12</f>
        <v>#VALUE!</v>
      </c>
    </row>
    <row r="16" spans="1:16">
      <c r="A16" s="96" t="s">
        <v>192</v>
      </c>
      <c r="B16" s="97">
        <f>(CONVERT(B7,"kg","g"))/B11</f>
        <v>18.435347402221446</v>
      </c>
      <c r="C16" s="97">
        <f t="shared" ref="C16:G16" si="6">(CONVERT(C7,"kg","g"))/C11</f>
        <v>18.42863341376902</v>
      </c>
      <c r="D16" s="97">
        <f t="shared" si="6"/>
        <v>23.557194209215108</v>
      </c>
      <c r="E16" s="97">
        <f t="shared" si="6"/>
        <v>22.536046327689029</v>
      </c>
      <c r="F16" s="97">
        <f t="shared" si="6"/>
        <v>26.618902033790675</v>
      </c>
      <c r="G16" s="97" t="e">
        <f t="shared" si="6"/>
        <v>#VALUE!</v>
      </c>
      <c r="H16" s="6">
        <f>IF('Finisher Model - ME Metric'!E11=2,SUM(B16:C16),IF('Finisher Model - ME Metric'!E11=3,SUM(B16:D16),IF('Finisher Model - ME Metric'!E11=4,SUM(B16:E16),IF('Finisher Model - ME Metric'!E11=5,SUM(B16:F16),IF('Finisher Model - ME Metric'!E11=6,SUM(B16:G16),"")))))</f>
        <v>109.57612338668528</v>
      </c>
      <c r="J16" s="106" t="s">
        <v>49</v>
      </c>
    </row>
    <row r="17" spans="1:16">
      <c r="A17" s="99" t="s">
        <v>199</v>
      </c>
      <c r="B17" s="103">
        <f>(B6-B5)/(B11/1000)</f>
        <v>18.435347402221446</v>
      </c>
      <c r="C17" s="103">
        <f>(IF('Finisher Model - ME Metric'!E11=2,'FW - Projected Performance - ME'!$B$34-'FW - Projected Performance - ME'!C5,'FW - Projected Performance - ME'!C6-'FW - Projected Performance - ME'!C5))/('FW - Projected Performance - ME'!C11/1000)</f>
        <v>18.42863341376902</v>
      </c>
      <c r="D17" s="103">
        <f>(IF('Finisher Model - ME Metric'!$E$11=3,'FW - Projected Performance - ME'!$B$34-'FW - Projected Performance - ME'!D5,'FW - Projected Performance - ME'!D6-'FW - Projected Performance - ME'!D5))/('FW - Projected Performance - ME'!D11/1000)</f>
        <v>23.557194209215108</v>
      </c>
      <c r="E17" s="103">
        <f>(IF('Finisher Model - ME Metric'!$E$11=4,'FW - Projected Performance - ME'!$B$34-'FW - Projected Performance - ME'!E5,'FW - Projected Performance - ME'!E6-'FW - Projected Performance - ME'!E5))/('FW - Projected Performance - ME'!E11/1000)</f>
        <v>22.536046327689029</v>
      </c>
      <c r="F17" s="103">
        <f>(IF('Finisher Model - ME Metric'!$E$11=5,'FW - Projected Performance - ME'!$B$34-'FW - Projected Performance - ME'!F5,'FW - Projected Performance - ME'!F6-'FW - Projected Performance - ME'!F5))/('FW - Projected Performance - ME'!F11/1000)</f>
        <v>25.292317029319275</v>
      </c>
      <c r="G17" s="103" t="e">
        <f>(IF('Finisher Model - ME Metric'!$E$11=6,'FW - Projected Performance - ME'!$B$34-'FW - Projected Performance - ME'!G5,'FW - Projected Performance - ME'!G6-'FW - Projected Performance - ME'!G5))/('FW - Projected Performance - ME'!G11/1000)</f>
        <v>#VALUE!</v>
      </c>
      <c r="H17" s="6">
        <f>IF('Finisher Model - ME Metric'!E11=2,SUM(B17:C17),IF('Finisher Model - ME Metric'!E11=3,SUM(B17:D17),IF('Finisher Model - ME Metric'!E11=4,SUM(B17:E17),IF('Finisher Model - ME Metric'!E11=5,SUM(B17:F17),IF('Finisher Model - ME Metric'!E11=6,SUM(B17:G17),"")))))</f>
        <v>108.24953838221388</v>
      </c>
      <c r="J17" t="s">
        <v>186</v>
      </c>
      <c r="K17" s="95">
        <f>IF('Finisher Model - ME Metric'!$E$11=2,L17,IF('Finisher Model - ME Metric'!$E$11=3,M17,IF('Finisher Model - ME Metric'!$E$11=4,N17,IF('Finisher Model - ME Metric'!$E$11=5,O17,IF('Finisher Model - ME Metric'!$E$11=6,P17,"")))))</f>
        <v>0.97648692366403833</v>
      </c>
      <c r="L17">
        <f>((SUM($B$23:$C$23)/SUM(B17:C17)))</f>
        <v>0.97656300820296382</v>
      </c>
      <c r="M17">
        <f>((SUM($B$23:$D$23)/SUM(B17:D17)))</f>
        <v>0.97647885820471536</v>
      </c>
      <c r="N17">
        <f>((SUM($B$23:$E$23)/SUM(B17:E17)))</f>
        <v>0.97640685981309916</v>
      </c>
      <c r="O17">
        <f>((SUM($B$23:$F$23)/SUM(B17:F17)))</f>
        <v>0.97648692366403833</v>
      </c>
      <c r="P17" t="e">
        <f>((SUM($B$23:$G$23)/SUM(B17:G17)))</f>
        <v>#VALUE!</v>
      </c>
    </row>
    <row r="18" spans="1:16">
      <c r="A18" s="96" t="s">
        <v>193</v>
      </c>
      <c r="B18" s="97">
        <f>CONVERT(D52,"lbm","kg")</f>
        <v>32.255391318798786</v>
      </c>
      <c r="C18" s="97">
        <f>CONVERT(D53,"lbm","kg")</f>
        <v>37.335282000573088</v>
      </c>
      <c r="D18" s="97">
        <f>CONVERT(D54,"lbm","kg")</f>
        <v>55.098688903376022</v>
      </c>
      <c r="E18" s="97">
        <f>CONVERT(D55,"lbm","kg")</f>
        <v>60.464037830819251</v>
      </c>
      <c r="F18" s="97">
        <f>CONVERT(D56,"lbm","kg")</f>
        <v>81.240992419503058</v>
      </c>
      <c r="G18" s="97">
        <f>CONVERT(D57,"lbm","kg")</f>
        <v>-300.21711947778044</v>
      </c>
      <c r="H18" s="11"/>
      <c r="J18" t="s">
        <v>40</v>
      </c>
      <c r="K18" s="95">
        <f>IF('Finisher Model - ME Metric'!$E$11=2,L18,IF('Finisher Model - ME Metric'!$E$11=3,M18,IF('Finisher Model - ME Metric'!$E$11=4,N18,IF('Finisher Model - ME Metric'!$E$11=5,O18,IF('Finisher Model - ME Metric'!$E$11=6,P18,"")))))</f>
        <v>2.5201859952626227</v>
      </c>
      <c r="L18">
        <f>SUM($B$19:$C$19)/SUM($B$23:$C$23)</f>
        <v>1.9330742588714409</v>
      </c>
      <c r="M18">
        <f>SUM($B$19:$D$19)/SUM($B$23:$D$23)</f>
        <v>2.1133790207245404</v>
      </c>
      <c r="N18">
        <f>SUM($B$19:$E$19)/SUM($B$23:$E$23)</f>
        <v>2.2858444451057673</v>
      </c>
      <c r="O18">
        <f>SUM($B$19:$F$19)/SUM($B$23:$F$23)</f>
        <v>2.5201859952626227</v>
      </c>
      <c r="P18" t="e">
        <f>SUM($B$19:$G$19)/SUM($B$23:$G$23)</f>
        <v>#VALUE!</v>
      </c>
    </row>
    <row r="19" spans="1:16">
      <c r="A19" s="99" t="s">
        <v>200</v>
      </c>
      <c r="B19" s="103">
        <f>CONVERT(I52,"lbm","kg")</f>
        <v>32.255391318798786</v>
      </c>
      <c r="C19" s="103">
        <f>CONVERT(I53,"lbm","kg")</f>
        <v>37.335282000573088</v>
      </c>
      <c r="D19" s="103">
        <f>CONVERT(I54,"lbm","kg")</f>
        <v>55.098688903376022</v>
      </c>
      <c r="E19" s="103">
        <f>CONVERT(I55,"lbm","kg")</f>
        <v>60.464037830819251</v>
      </c>
      <c r="F19" s="103">
        <f>CONVERT(I56,"lbm","kg")</f>
        <v>81.240992419503058</v>
      </c>
      <c r="G19" s="103">
        <f>CONVERT(I57,"lbm","kg")</f>
        <v>-300.21711947778044</v>
      </c>
      <c r="I19" s="6"/>
      <c r="J19" t="s">
        <v>183</v>
      </c>
      <c r="K19" s="95">
        <f>IF('Finisher Model - ME Metric'!$E$11=2,L19,IF('Finisher Model - ME Metric'!$E$11=3,M19,IF('Finisher Model - ME Metric'!$E$11=4,N19,IF('Finisher Model - ME Metric'!$E$11=5,O19,IF('Finisher Model - ME Metric'!$E$11=6,P19,"")))))</f>
        <v>2.4609286695751909</v>
      </c>
      <c r="L19">
        <f>SUM(B19:C19)/SUM(B17:C17)</f>
        <v>1.8877688133232093</v>
      </c>
      <c r="M19">
        <f>SUM(B19:D19)/SUM(B17:D17)</f>
        <v>2.0636699331108987</v>
      </c>
      <c r="N19">
        <f>SUM(B19:E19)/SUM(B17:E17)</f>
        <v>2.231914196666938</v>
      </c>
      <c r="O19">
        <f>SUM(B19:F19)/SUM(B17:F17)</f>
        <v>2.4609286695751909</v>
      </c>
      <c r="P19" t="e">
        <f>SUM(B19:G19)/SUM(B17:G17)</f>
        <v>#VALUE!</v>
      </c>
    </row>
    <row r="20" spans="1:16">
      <c r="A20" s="96" t="s">
        <v>194</v>
      </c>
      <c r="B20" s="97">
        <f t="shared" ref="B20:G20" si="7">(B18*(B9/907))</f>
        <v>14.358269890594823</v>
      </c>
      <c r="C20" s="97">
        <f t="shared" si="7"/>
        <v>15.617339456327116</v>
      </c>
      <c r="D20" s="97">
        <f t="shared" si="7"/>
        <v>21.754548668483931</v>
      </c>
      <c r="E20" s="97">
        <f t="shared" si="7"/>
        <v>22.86621932992427</v>
      </c>
      <c r="F20" s="97">
        <f t="shared" si="7"/>
        <v>29.946091736296282</v>
      </c>
      <c r="G20" s="97">
        <f t="shared" si="7"/>
        <v>0</v>
      </c>
      <c r="H20" s="11"/>
      <c r="J20" s="17" t="s">
        <v>41</v>
      </c>
      <c r="K20" s="95">
        <f>IF('Finisher Model - ME Metric'!$E$11=2,L20,IF('Finisher Model - ME Metric'!$E$11=3,M20,IF('Finisher Model - ME Metric'!$E$11=4,N20,IF('Finisher Model - ME Metric'!$E$11=5,O20,IF('Finisher Model - ME Metric'!$E$11=6,P20,"")))))</f>
        <v>108.24953838221388</v>
      </c>
      <c r="L20" s="15">
        <f>SUM(B17:C17)</f>
        <v>36.863980815990466</v>
      </c>
      <c r="M20" s="15">
        <f>SUM(B17:D17)</f>
        <v>60.421175025205571</v>
      </c>
      <c r="N20" s="15">
        <f>SUM(B17:E17)</f>
        <v>82.957221352894607</v>
      </c>
      <c r="O20" s="15">
        <f>SUM(B17:F17)</f>
        <v>108.24953838221388</v>
      </c>
      <c r="P20" s="15" t="e">
        <f>SUM(B17:G17)</f>
        <v>#VALUE!</v>
      </c>
    </row>
    <row r="21" spans="1:16">
      <c r="A21" s="99" t="s">
        <v>201</v>
      </c>
      <c r="B21" s="103">
        <f>(B19*(B9/907))</f>
        <v>14.358269890594823</v>
      </c>
      <c r="C21" s="103">
        <f t="shared" ref="C21:G21" si="8">(C19*(C9/907))</f>
        <v>15.617339456327116</v>
      </c>
      <c r="D21" s="103">
        <f t="shared" si="8"/>
        <v>21.754548668483931</v>
      </c>
      <c r="E21" s="103">
        <f t="shared" si="8"/>
        <v>22.86621932992427</v>
      </c>
      <c r="F21" s="103">
        <f t="shared" si="8"/>
        <v>29.946091736296282</v>
      </c>
      <c r="G21" s="103">
        <f t="shared" si="8"/>
        <v>0</v>
      </c>
      <c r="I21" s="28"/>
      <c r="J21" s="17" t="s">
        <v>184</v>
      </c>
      <c r="K21" s="95">
        <f>IF('Finisher Model - ME Metric'!$E$11=2,L21,IF('Finisher Model - ME Metric'!$E$11=3,M21,IF('Finisher Model - ME Metric'!$E$11=4,N21,IF('Finisher Model - ME Metric'!$E$11=5,O21,IF('Finisher Model - ME Metric'!$E$11=6,P21,"")))))</f>
        <v>266.39439247307018</v>
      </c>
      <c r="L21" s="26">
        <f>SUM(B19:C19)</f>
        <v>69.590673319371874</v>
      </c>
      <c r="M21" s="26">
        <f>SUM(B19:D19)</f>
        <v>124.68936222274789</v>
      </c>
      <c r="N21" s="26">
        <f>SUM(B19:E19)</f>
        <v>185.15340005356714</v>
      </c>
      <c r="O21" s="26">
        <f>SUM(B19:F19)</f>
        <v>266.39439247307018</v>
      </c>
      <c r="P21" s="26">
        <f>SUM(B19:G19)</f>
        <v>-33.822727004710259</v>
      </c>
    </row>
    <row r="22" spans="1:16">
      <c r="A22" s="96" t="s">
        <v>195</v>
      </c>
      <c r="B22" s="97">
        <f t="shared" ref="B22:G22" si="9">B11/1000*B16</f>
        <v>18</v>
      </c>
      <c r="C22" s="97">
        <f t="shared" si="9"/>
        <v>18</v>
      </c>
      <c r="D22" s="97">
        <f t="shared" si="9"/>
        <v>23</v>
      </c>
      <c r="E22" s="97">
        <f t="shared" si="9"/>
        <v>22</v>
      </c>
      <c r="F22" s="97">
        <f t="shared" si="9"/>
        <v>26.000000000000004</v>
      </c>
      <c r="G22" s="97" t="e">
        <f t="shared" si="9"/>
        <v>#VALUE!</v>
      </c>
      <c r="H22" s="6">
        <f>IF('Finisher Model - ME Metric'!E11=2,SUM(B22:C22)+'Finisher Model - ME Metric'!C15,IF('Finisher Model - ME Metric'!E11=3,SUM(B22:D22)+'Finisher Model - ME Metric'!C15,IF('Finisher Model - ME Metric'!E11=4,SUM(B22:E22)+'Finisher Model - ME Metric'!C15,IF('Finisher Model - ME Metric'!E11=5,SUM(B22:F22)+'Finisher Model - ME Metric'!C15,IF('Finisher Model - ME Metric'!E11=6, SUM(B22:G22)+'Finisher Model - ME Metric'!C15,"")))))</f>
        <v>130</v>
      </c>
      <c r="J22" s="17" t="s">
        <v>42</v>
      </c>
      <c r="K22" s="95">
        <f>IF('Finisher Model - ME Metric'!$E$11=2,L22,IF('Finisher Model - ME Metric'!$E$11=3,M22,IF('Finisher Model - ME Metric'!$E$11=4,N22,IF('Finisher Model - ME Metric'!$E$11=5,O22,IF('Finisher Model - ME Metric'!$E$11=6,P22,"")))))</f>
        <v>104.54246908162642</v>
      </c>
      <c r="L22" s="15">
        <f>SUM(B21:C21)</f>
        <v>29.975609346921939</v>
      </c>
      <c r="M22" s="15">
        <f>SUM(B21:D21)</f>
        <v>51.73015801540587</v>
      </c>
      <c r="N22" s="15">
        <f>SUM(B21:E21)</f>
        <v>74.59637734533014</v>
      </c>
      <c r="O22" s="15">
        <f>SUM(B21:F21)</f>
        <v>104.54246908162642</v>
      </c>
      <c r="P22" s="15">
        <f>SUM(B21:G21)</f>
        <v>104.54246908162642</v>
      </c>
    </row>
    <row r="23" spans="1:16" ht="16.5" thickBot="1">
      <c r="A23" s="99" t="s">
        <v>202</v>
      </c>
      <c r="B23" s="103">
        <f>B11/1000*B17</f>
        <v>18</v>
      </c>
      <c r="C23" s="103">
        <f t="shared" ref="C23:G23" si="10">C11/1000*C17</f>
        <v>18</v>
      </c>
      <c r="D23" s="103">
        <f t="shared" si="10"/>
        <v>23</v>
      </c>
      <c r="E23" s="103">
        <f t="shared" si="10"/>
        <v>22</v>
      </c>
      <c r="F23" s="103">
        <f t="shared" si="10"/>
        <v>24.704258722900278</v>
      </c>
      <c r="G23" s="103" t="e">
        <f t="shared" si="10"/>
        <v>#VALUE!</v>
      </c>
      <c r="H23" s="6">
        <f>IF('Finisher Model - ME Metric'!E11=2,SUM(B23:C23)+'Finisher Model - ME Metric'!C15,IF('Finisher Model - ME Metric'!E11=3,SUM(B23:D23)+'Finisher Model - ME Metric'!C15,IF('Finisher Model - ME Metric'!E11=4,SUM(B23:E23)+'Finisher Model - ME Metric'!C15,IF('Finisher Model - ME Metric'!E11=5,SUM(B23:F23)+'Finisher Model - ME Metric'!C15,IF('Finisher Model - ME Metric'!E11=6, SUM(B23:G23)+'Finisher Model - ME Metric'!C15,"")))))</f>
        <v>128.70425872290028</v>
      </c>
      <c r="J23" s="1" t="s">
        <v>43</v>
      </c>
      <c r="K23" s="20">
        <f>IF('Finisher Model - ME Metric'!$E$11=2,L23,IF('Finisher Model - ME Metric'!$E$11=3,M23,IF('Finisher Model - ME Metric'!$E$11=4,N23,IF('Finisher Model - ME Metric'!$E$11=5,O23,IF('Finisher Model - ME Metric'!$E$11=6,P23,"")))))</f>
        <v>121.86239522278065</v>
      </c>
      <c r="L23" s="16">
        <f>SUM(B27:C27)</f>
        <v>35.873846277480411</v>
      </c>
      <c r="M23" s="16">
        <f>SUM(B27:D27)</f>
        <v>61.397546019438764</v>
      </c>
      <c r="N23" s="16">
        <f>SUM(B27:E27)</f>
        <v>87.86953276179328</v>
      </c>
      <c r="O23" s="16">
        <f>SUM(B27:F27)</f>
        <v>121.86239522278065</v>
      </c>
      <c r="P23" s="16" t="e">
        <f>SUM(B27:G27)</f>
        <v>#VALUE!</v>
      </c>
    </row>
    <row r="24" spans="1:16">
      <c r="A24" s="96" t="s">
        <v>196</v>
      </c>
      <c r="B24" s="98">
        <f t="shared" ref="B24:G24" si="11">B20/((B11/1000)*B16)</f>
        <v>0.79768166058860124</v>
      </c>
      <c r="C24" s="98">
        <f t="shared" si="11"/>
        <v>0.86762996979595086</v>
      </c>
      <c r="D24" s="98">
        <f t="shared" si="11"/>
        <v>0.945849942107997</v>
      </c>
      <c r="E24" s="98">
        <f t="shared" si="11"/>
        <v>1.0393736059056486</v>
      </c>
      <c r="F24" s="98">
        <f t="shared" si="11"/>
        <v>1.1517727590883184</v>
      </c>
      <c r="G24" s="98" t="e">
        <f t="shared" si="11"/>
        <v>#VALUE!</v>
      </c>
      <c r="J24" t="s">
        <v>51</v>
      </c>
      <c r="K24" s="95">
        <f>IF('Finisher Model - ME Metric'!$E$11=2,L24,IF('Finisher Model - ME Metric'!$E$11=3,M24,IF('Finisher Model - ME Metric'!$E$11=4,N24,IF('Finisher Model - ME Metric'!$E$11=5,O24,IF('Finisher Model - ME Metric'!$E$11=6,P24,"")))))</f>
        <v>115.4351491646548</v>
      </c>
      <c r="L24" s="17">
        <f>B35*'Finisher Model - ME Metric'!$E$8</f>
        <v>115.4351491646548</v>
      </c>
      <c r="M24" s="17">
        <f>C35*'Finisher Model - ME Metric'!$E$8</f>
        <v>115.4351491646548</v>
      </c>
      <c r="N24" s="17">
        <f>D35*'Finisher Model - ME Metric'!$E$8</f>
        <v>115.4351491646548</v>
      </c>
      <c r="O24" s="17">
        <f>E35*'Finisher Model - ME Metric'!$E$8</f>
        <v>115.4351491646548</v>
      </c>
      <c r="P24" s="17">
        <f>F35*'Finisher Model - ME Metric'!$E$8</f>
        <v>115.4351491646548</v>
      </c>
    </row>
    <row r="25" spans="1:16">
      <c r="A25" s="99" t="s">
        <v>203</v>
      </c>
      <c r="B25" s="104">
        <f>B21/((B11/1000)*B17)</f>
        <v>0.79768166058860124</v>
      </c>
      <c r="C25" s="104">
        <f t="shared" ref="C25:G25" si="12">C21/((C11/1000)*C17)</f>
        <v>0.86762996979595086</v>
      </c>
      <c r="D25" s="104">
        <f t="shared" si="12"/>
        <v>0.945849942107997</v>
      </c>
      <c r="E25" s="104">
        <f t="shared" si="12"/>
        <v>1.0393736059056486</v>
      </c>
      <c r="F25" s="104">
        <f t="shared" si="12"/>
        <v>1.2121833758378244</v>
      </c>
      <c r="G25" s="104" t="e">
        <f t="shared" si="12"/>
        <v>#VALUE!</v>
      </c>
      <c r="J25" s="17" t="s">
        <v>52</v>
      </c>
      <c r="K25" s="95">
        <f>IF('Finisher Model - ME Metric'!$E$11=2,L25,IF('Finisher Model - ME Metric'!$E$11=3,M25,IF('Finisher Model - ME Metric'!$E$11=4,N25,IF('Finisher Model - ME Metric'!$E$11=5,O25,IF('Finisher Model - ME Metric'!$E$11=6,P25,"")))))</f>
        <v>10.892680083028381</v>
      </c>
      <c r="L25" s="15">
        <f>L24-L22</f>
        <v>85.45953981773286</v>
      </c>
      <c r="M25" s="15">
        <f t="shared" ref="M25:P25" si="13">M24-M22</f>
        <v>63.704991149248933</v>
      </c>
      <c r="N25" s="15">
        <f t="shared" si="13"/>
        <v>40.838771819324663</v>
      </c>
      <c r="O25" s="15">
        <f t="shared" si="13"/>
        <v>10.892680083028381</v>
      </c>
      <c r="P25" s="15">
        <f t="shared" si="13"/>
        <v>10.892680083028381</v>
      </c>
    </row>
    <row r="26" spans="1:16" ht="16.5" thickBot="1">
      <c r="A26" s="96" t="s">
        <v>197</v>
      </c>
      <c r="B26" s="98">
        <f>B20+(B16*'Finisher Model - ME Metric'!$E$10)</f>
        <v>17.307925474950252</v>
      </c>
      <c r="C26" s="98">
        <f>C20+(C16*'Finisher Model - ME Metric'!$E$10)</f>
        <v>18.565920802530158</v>
      </c>
      <c r="D26" s="98">
        <f>D20+(D16*'Finisher Model - ME Metric'!$E$10)</f>
        <v>25.52369974195835</v>
      </c>
      <c r="E26" s="98">
        <f>E20+(E16*'Finisher Model - ME Metric'!$E$10)</f>
        <v>26.471986742354517</v>
      </c>
      <c r="F26" s="98">
        <f>F20+(F16*'Finisher Model - ME Metric'!$E$10)</f>
        <v>34.205116061702789</v>
      </c>
      <c r="G26" s="98" t="e">
        <f>G20+(G16*'Finisher Model - ME Metric'!$E$10)</f>
        <v>#VALUE!</v>
      </c>
      <c r="H26" s="45"/>
      <c r="J26" s="1" t="s">
        <v>54</v>
      </c>
      <c r="K26" s="20">
        <f>IF('Finisher Model - ME Metric'!$E$11=2,L26,IF('Finisher Model - ME Metric'!$E$11=3,M26,IF('Finisher Model - ME Metric'!$E$11=4,N26,IF('Finisher Model - ME Metric'!$E$11=5,O26,IF('Finisher Model - ME Metric'!$E$11=6,P26,"")))))</f>
        <v>-6.4272460581258457</v>
      </c>
      <c r="L26" s="16">
        <f>L24-L23</f>
        <v>79.561302887174392</v>
      </c>
      <c r="M26" s="16">
        <f t="shared" ref="M26:P26" si="14">M24-M23</f>
        <v>54.037603145216039</v>
      </c>
      <c r="N26" s="16">
        <f t="shared" si="14"/>
        <v>27.565616402861522</v>
      </c>
      <c r="O26" s="16">
        <f t="shared" si="14"/>
        <v>-6.4272460581258457</v>
      </c>
      <c r="P26" s="16" t="e">
        <f t="shared" si="14"/>
        <v>#VALUE!</v>
      </c>
    </row>
    <row r="27" spans="1:16">
      <c r="A27" s="99" t="s">
        <v>204</v>
      </c>
      <c r="B27" s="104">
        <f>B21+(B17*'Finisher Model - ME Metric'!$E$10)</f>
        <v>17.307925474950252</v>
      </c>
      <c r="C27" s="104">
        <f>C21+(C17*'Finisher Model - ME Metric'!$E$10)</f>
        <v>18.565920802530158</v>
      </c>
      <c r="D27" s="104">
        <f>D21+(D17*'Finisher Model - ME Metric'!$E$10)</f>
        <v>25.52369974195835</v>
      </c>
      <c r="E27" s="104">
        <f>E21+(E17*'Finisher Model - ME Metric'!$E$10)</f>
        <v>26.471986742354517</v>
      </c>
      <c r="F27" s="104">
        <f>F21+(F17*'Finisher Model - ME Metric'!$E$10)</f>
        <v>33.992862460987368</v>
      </c>
      <c r="G27" s="104" t="e">
        <f>G21+(G17*'Finisher Model - ME Metric'!$E$10)</f>
        <v>#VALUE!</v>
      </c>
    </row>
    <row r="28" spans="1:16">
      <c r="A28" s="96" t="s">
        <v>198</v>
      </c>
      <c r="B28" s="98">
        <f>B22*'Finisher Model - ME Metric'!$E$7</f>
        <v>27</v>
      </c>
      <c r="C28" s="98">
        <f>C22*'Finisher Model - ME Metric'!$E$7</f>
        <v>27</v>
      </c>
      <c r="D28" s="98">
        <f>D22*'Finisher Model - ME Metric'!$E$7</f>
        <v>34.5</v>
      </c>
      <c r="E28" s="98">
        <f>E22*'Finisher Model - ME Metric'!$E$7</f>
        <v>33</v>
      </c>
      <c r="F28" s="98">
        <f>F22*'Finisher Model - ME Metric'!$E$7</f>
        <v>39.000000000000007</v>
      </c>
      <c r="G28" s="98" t="e">
        <f>G22*'Finisher Model - ME Metric'!$E$7</f>
        <v>#VALUE!</v>
      </c>
    </row>
    <row r="29" spans="1:16">
      <c r="A29" t="s">
        <v>37</v>
      </c>
      <c r="B29" s="74">
        <f t="shared" ref="B29:G29" si="15">B28-B20</f>
        <v>12.641730109405177</v>
      </c>
      <c r="C29" s="74">
        <f t="shared" si="15"/>
        <v>11.382660543672884</v>
      </c>
      <c r="D29" s="74">
        <f t="shared" si="15"/>
        <v>12.745451331516069</v>
      </c>
      <c r="E29" s="74">
        <f t="shared" si="15"/>
        <v>10.13378067007573</v>
      </c>
      <c r="F29" s="74">
        <f t="shared" si="15"/>
        <v>9.0539082637037254</v>
      </c>
      <c r="G29" s="74" t="e">
        <f t="shared" si="15"/>
        <v>#VALUE!</v>
      </c>
      <c r="H29" s="10"/>
    </row>
    <row r="30" spans="1:16">
      <c r="A30" t="s">
        <v>38</v>
      </c>
      <c r="B30" s="74">
        <f t="shared" ref="B30:G30" si="16">B28-B26</f>
        <v>9.6920745250497475</v>
      </c>
      <c r="C30" s="74">
        <f t="shared" si="16"/>
        <v>8.4340791974698419</v>
      </c>
      <c r="D30" s="74">
        <f t="shared" si="16"/>
        <v>8.9763002580416504</v>
      </c>
      <c r="E30" s="74">
        <f t="shared" si="16"/>
        <v>6.5280132576454832</v>
      </c>
      <c r="F30" s="74">
        <f t="shared" si="16"/>
        <v>4.7948839382972182</v>
      </c>
      <c r="G30" s="74" t="e">
        <f t="shared" si="16"/>
        <v>#VALUE!</v>
      </c>
    </row>
    <row r="31" spans="1:16">
      <c r="A31" t="s">
        <v>75</v>
      </c>
      <c r="B31" s="74">
        <f>'Finisher Model - ME Metric'!S61</f>
        <v>1.8990690916873938</v>
      </c>
      <c r="C31" s="74">
        <f>'Finisher Model - ME Metric'!S62</f>
        <v>1.8257206822142631</v>
      </c>
      <c r="D31" s="74">
        <f>'Finisher Model - ME Metric'!S63</f>
        <v>1.7723021589154981</v>
      </c>
      <c r="E31" s="74">
        <f>'Finisher Model - ME Metric'!S64</f>
        <v>1.7624055506082432</v>
      </c>
      <c r="F31" s="74">
        <f>'Finisher Model - ME Metric'!S65</f>
        <v>1.8306668844913085</v>
      </c>
      <c r="G31" s="74" t="str">
        <f>'Finisher Model - ME Metric'!S66</f>
        <v/>
      </c>
    </row>
    <row r="32" spans="1:16">
      <c r="A32" t="s">
        <v>76</v>
      </c>
      <c r="B32" s="74">
        <f>SUMPRODUCT(B31,B18)/SUM(B18)</f>
        <v>1.8990690916873938</v>
      </c>
      <c r="C32" s="74">
        <f>SUMPRODUCT(B31:C31,B18:C18)/SUM(B18:C18)</f>
        <v>1.8597177904087707</v>
      </c>
      <c r="D32" s="74">
        <f>SUMPRODUCT(B31:D31,B18:D18)/SUM(B18:D18)</f>
        <v>1.8210899026797784</v>
      </c>
      <c r="E32" s="74">
        <f>SUMPRODUCT(B31:E31,B18:E18)/SUM(B18:E18)</f>
        <v>1.8019258317920503</v>
      </c>
      <c r="F32" s="74">
        <f>SUMPRODUCT(B31:F31,B18:F18)/SUM(B18:F18)</f>
        <v>1.8106908497895859</v>
      </c>
      <c r="G32" s="74">
        <f>SUMPRODUCT(B31:G31,B18:G18)/SUM(B18:G18)</f>
        <v>-14.261354172272071</v>
      </c>
    </row>
    <row r="33" spans="1:10">
      <c r="A33" s="100" t="s">
        <v>190</v>
      </c>
      <c r="B33" s="107">
        <f>'Current Performance - ME'!B28</f>
        <v>96.195957637212345</v>
      </c>
    </row>
    <row r="34" spans="1:10">
      <c r="A34" s="100" t="s">
        <v>191</v>
      </c>
      <c r="B34" s="102">
        <f>B33/(IF('Finisher Model - ME Metric'!E9&lt;76,B43,B44)/100)</f>
        <v>128.70425872290028</v>
      </c>
    </row>
    <row r="35" spans="1:10">
      <c r="A35" t="s">
        <v>160</v>
      </c>
      <c r="B35" s="237">
        <f>$H$23*IF('Finisher Model - ME Metric'!$E$9&lt;76,'FW - Projected Performance - ME'!$B$43,'FW - Projected Performance - ME'!B44)/100</f>
        <v>96.195957637212345</v>
      </c>
      <c r="C35" s="237">
        <f>$H$23*IF('Finisher Model - ME Metric'!$E$9&lt;76,'FW - Projected Performance - ME'!$B$43,'FW - Projected Performance - ME'!C44)/100</f>
        <v>96.195957637212345</v>
      </c>
      <c r="D35" s="237">
        <f>$H$23*IF('Finisher Model - ME Metric'!$E$9&lt;76,'FW - Projected Performance - ME'!$B$43,'FW - Projected Performance - ME'!D44)/100</f>
        <v>96.195957637212345</v>
      </c>
      <c r="E35" s="237">
        <f>$H$23*IF('Finisher Model - ME Metric'!$E$9&lt;76,'FW - Projected Performance - ME'!$B$43,'FW - Projected Performance - ME'!E44)/100</f>
        <v>96.195957637212345</v>
      </c>
      <c r="F35" s="237">
        <f>$H$23*IF('Finisher Model - ME Metric'!$E$9&lt;76,'FW - Projected Performance - ME'!$B$43,'FW - Projected Performance - ME'!F44)/100</f>
        <v>96.195957637212345</v>
      </c>
      <c r="G35" s="237">
        <f>$H$23*IF('Finisher Model - ME Metric'!$E$9&lt;76,'FW - Projected Performance - ME'!$B$43,'FW - Projected Performance - ME'!G44)/100</f>
        <v>96.195957637212345</v>
      </c>
    </row>
    <row r="36" spans="1:10">
      <c r="A36" t="s">
        <v>159</v>
      </c>
      <c r="B36" s="74">
        <f t="shared" ref="B36:G36" si="17">(VLOOKUP($H$22,$C$82:$I$121,7,TRUE))*100</f>
        <v>74.922166093909382</v>
      </c>
      <c r="C36" s="74">
        <f t="shared" si="17"/>
        <v>74.922166093909382</v>
      </c>
      <c r="D36" s="74">
        <f t="shared" si="17"/>
        <v>74.922166093909382</v>
      </c>
      <c r="E36" s="74">
        <f t="shared" si="17"/>
        <v>74.922166093909382</v>
      </c>
      <c r="F36" s="74">
        <f t="shared" si="17"/>
        <v>74.922166093909382</v>
      </c>
      <c r="G36" s="74">
        <f t="shared" si="17"/>
        <v>74.922166093909382</v>
      </c>
    </row>
    <row r="37" spans="1:10">
      <c r="A37" t="s">
        <v>90</v>
      </c>
      <c r="B37" s="3">
        <f>'Finisher Model - ME Metric'!E9</f>
        <v>75</v>
      </c>
      <c r="C37" s="3"/>
      <c r="D37" s="3"/>
      <c r="E37" s="3"/>
      <c r="F37" s="3"/>
      <c r="G37" s="3"/>
    </row>
    <row r="38" spans="1:10">
      <c r="A38" t="s">
        <v>91</v>
      </c>
      <c r="B38" s="53">
        <f>B37/B36</f>
        <v>1.0010388635319627</v>
      </c>
      <c r="C38" s="9"/>
      <c r="D38" s="9"/>
      <c r="E38" s="9"/>
      <c r="F38" s="9"/>
      <c r="G38" s="9"/>
      <c r="J38" t="s">
        <v>149</v>
      </c>
    </row>
    <row r="39" spans="1:10">
      <c r="A39" t="s">
        <v>163</v>
      </c>
      <c r="B39" s="93">
        <f>'Finisher Model - ME Metric'!Q61</f>
        <v>1.2660460611249293</v>
      </c>
      <c r="C39" s="93">
        <f>'Finisher Model - ME Metric'!Q62</f>
        <v>1.2171471214761753</v>
      </c>
      <c r="D39" s="93">
        <f>'Finisher Model - ME Metric'!Q63</f>
        <v>1.1815347726103322</v>
      </c>
      <c r="E39" s="93">
        <f>'Finisher Model - ME Metric'!Q64</f>
        <v>1.174937033738829</v>
      </c>
      <c r="F39" s="53">
        <f>'Finisher Model - ME Metric'!Q65</f>
        <v>1.2204445896608722</v>
      </c>
      <c r="G39" s="53" t="str">
        <f>'Finisher Model - ME Metric'!Q66</f>
        <v/>
      </c>
      <c r="H39">
        <f>IF('Finisher Model - ME Metric'!E11=2,SUMPRODUCT(B39:C39,B16:C16)/SUM(B16:C16),IF('Finisher Model - ME Metric'!E11=3,SUMPRODUCT(B39:D39,B16:D16)/SUM(B16:D16),IF('Finisher Model - ME Metric'!E11=4,SUMPRODUCT(B39:E39,B16:E16)/SUM(B16:E16),IF('Finisher Model - ME Metric'!E11=5,SUMPRODUCT(B39:F39,B16:F16)/SUM(B16:F16),IF('Finisher Model - ME Metric'!E11=6,SUMPRODUCT(B39:G39,B16:G16)/SUM(B16:G16),"")))))</f>
        <v>1.2098377591454403</v>
      </c>
      <c r="J39" t="s">
        <v>150</v>
      </c>
    </row>
    <row r="40" spans="1:10">
      <c r="A40" t="s">
        <v>162</v>
      </c>
      <c r="B40" s="91">
        <f>73.859-1.19192*H39</f>
        <v>72.416970178119357</v>
      </c>
      <c r="C40" s="9"/>
      <c r="D40" s="9"/>
      <c r="E40" s="9"/>
      <c r="F40" s="9"/>
      <c r="G40" s="9"/>
    </row>
    <row r="41" spans="1:10">
      <c r="A41" t="s">
        <v>154</v>
      </c>
      <c r="B41" s="91">
        <f>73.859-1.19192*1</f>
        <v>72.667079999999999</v>
      </c>
      <c r="C41" s="9"/>
      <c r="D41" s="9"/>
      <c r="E41" s="9"/>
      <c r="F41" s="9"/>
      <c r="G41" s="9"/>
    </row>
    <row r="42" spans="1:10">
      <c r="A42" t="s">
        <v>156</v>
      </c>
      <c r="B42" s="53">
        <f>B40/B41</f>
        <v>0.99655814129478382</v>
      </c>
      <c r="C42" s="9"/>
      <c r="D42" s="9"/>
      <c r="E42" s="9"/>
      <c r="F42" s="9"/>
      <c r="G42" s="9"/>
    </row>
    <row r="43" spans="1:10">
      <c r="A43" t="s">
        <v>157</v>
      </c>
      <c r="B43" s="53">
        <f>(VLOOKUP($H$22,$C$82:$K$121,9,TRUE))</f>
        <v>74.741860597108783</v>
      </c>
      <c r="C43" s="9"/>
      <c r="D43" s="9"/>
      <c r="E43" s="9"/>
      <c r="F43" s="9"/>
      <c r="G43" s="9"/>
    </row>
    <row r="44" spans="1:10">
      <c r="A44" t="s">
        <v>231</v>
      </c>
      <c r="B44" s="237">
        <f>'Current Performance - ME'!$B$36</f>
        <v>73.996890490163338</v>
      </c>
      <c r="C44" s="237">
        <f>'Current Performance - ME'!$B$36</f>
        <v>73.996890490163338</v>
      </c>
      <c r="D44" s="237">
        <f>'Current Performance - ME'!$B$36</f>
        <v>73.996890490163338</v>
      </c>
      <c r="E44" s="237">
        <f>'Current Performance - ME'!$B$36</f>
        <v>73.996890490163338</v>
      </c>
      <c r="F44" s="237">
        <f>'Current Performance - ME'!$B$36</f>
        <v>73.996890490163338</v>
      </c>
      <c r="G44" s="237">
        <f>'Current Performance - ME'!$B$36</f>
        <v>73.996890490163338</v>
      </c>
    </row>
    <row r="45" spans="1:10" ht="16.5" thickBot="1">
      <c r="B45" s="10"/>
    </row>
    <row r="46" spans="1:10" ht="16.5" thickBot="1">
      <c r="B46" s="287" t="s">
        <v>205</v>
      </c>
      <c r="C46" s="288"/>
      <c r="D46" s="288"/>
      <c r="E46" s="289"/>
      <c r="G46" s="287" t="s">
        <v>206</v>
      </c>
      <c r="H46" s="288"/>
      <c r="I46" s="288"/>
      <c r="J46" s="289"/>
    </row>
    <row r="47" spans="1:10" ht="16.5" thickBot="1">
      <c r="B47" s="287" t="s">
        <v>62</v>
      </c>
      <c r="C47" s="288"/>
      <c r="D47" s="288"/>
      <c r="E47" s="289"/>
      <c r="G47" s="287" t="s">
        <v>62</v>
      </c>
      <c r="H47" s="288"/>
      <c r="I47" s="288"/>
      <c r="J47" s="289"/>
    </row>
    <row r="48" spans="1:10" ht="16.5" thickBot="1">
      <c r="B48" s="38" t="s">
        <v>63</v>
      </c>
      <c r="C48" s="31" t="s">
        <v>64</v>
      </c>
      <c r="D48" s="38" t="s">
        <v>65</v>
      </c>
      <c r="E48" s="40"/>
      <c r="G48" s="38" t="s">
        <v>63</v>
      </c>
      <c r="H48" s="31" t="s">
        <v>64</v>
      </c>
      <c r="I48" s="38" t="s">
        <v>65</v>
      </c>
      <c r="J48" s="40"/>
    </row>
    <row r="49" spans="1:10" ht="16.5" thickBot="1">
      <c r="B49" s="39">
        <f>CONVERT('Finisher Model - ME Metric'!C15,"kg","lbm")</f>
        <v>50.706320302521839</v>
      </c>
      <c r="C49" s="39">
        <f>CONVERT(IF('Finisher Model - ME Metric'!$E$11=2,'Finisher Model - ME Metric'!D16,IF('Finisher Model - ME Metric'!$E$11=3,'Finisher Model - ME Metric'!D17,IF('Finisher Model - ME Metric'!$E$11=4,'Finisher Model - ME Metric'!D18,IF('Finisher Model - ME Metric'!$E$11=5,'Finisher Model - ME Metric'!D19,IF('Finisher Model - ME Metric'!$E$11=6,'Finisher Model - ME Metric'!D20,""))))),"kg","lbm")</f>
        <v>286.6009408403408</v>
      </c>
      <c r="D49" s="44">
        <f>B15</f>
        <v>2.4896672193744886</v>
      </c>
      <c r="E49" s="40"/>
      <c r="G49" s="39">
        <f>CONVERT('Finisher Model - ME Metric'!C15,"kg","lbm")</f>
        <v>50.706320302521839</v>
      </c>
      <c r="H49" s="39">
        <f>CONVERT(IF('Finisher Model - ME Metric'!$E$11=2,'Finisher Model - ME Metric'!D16,IF('Finisher Model - ME Metric'!$E$11=3,'Finisher Model - ME Metric'!D17,IF('Finisher Model - ME Metric'!$E$11=4,'Finisher Model - ME Metric'!D18,IF('Finisher Model - ME Metric'!$E$11=5,'Finisher Model - ME Metric'!D19,IF('Finisher Model - ME Metric'!$E$11=6,'Finisher Model - ME Metric'!D20,""))))),"kg","lbm")</f>
        <v>286.6009408403408</v>
      </c>
      <c r="I49" s="44">
        <f>B15</f>
        <v>2.4896672193744886</v>
      </c>
      <c r="J49" s="40"/>
    </row>
    <row r="50" spans="1:10">
      <c r="B50" s="34"/>
      <c r="C50" s="31"/>
      <c r="D50" s="31"/>
      <c r="E50" s="40"/>
      <c r="G50" s="34"/>
      <c r="H50" s="31"/>
      <c r="I50" s="31"/>
      <c r="J50" s="40"/>
    </row>
    <row r="51" spans="1:10">
      <c r="B51" s="34" t="s">
        <v>63</v>
      </c>
      <c r="C51" s="31" t="s">
        <v>64</v>
      </c>
      <c r="D51" s="41" t="s">
        <v>66</v>
      </c>
      <c r="E51" s="35">
        <f>IF(B52=0,F51,((0.00463*B52^2 + 1.68*B52 - 22.05)/(((0.00463*C49^2 + 1.68*C49 - 22.05)-(0.00463*B49^2 + 1.68*B49 - 22.05))/(C49-B49))*D49))</f>
        <v>57.631836393616318</v>
      </c>
      <c r="G51" s="34" t="s">
        <v>63</v>
      </c>
      <c r="H51" s="31" t="s">
        <v>64</v>
      </c>
      <c r="I51" s="41" t="s">
        <v>66</v>
      </c>
      <c r="J51" s="35">
        <f>IF(G52=0,K51,((0.00463*G52^2 + 1.68*G52 - 22.05)/(((0.00463*H49^2 + 1.68*H49 - 22.05)-(0.00463*G49^2 + 1.68*G49 - 22.05))/(H49-G49))*I49))</f>
        <v>57.631836393616318</v>
      </c>
    </row>
    <row r="52" spans="1:10">
      <c r="A52">
        <v>1</v>
      </c>
      <c r="B52" s="30">
        <f>CONVERT('Finisher Model - ME Metric'!C15,"kg","lbm")</f>
        <v>50.706320302521839</v>
      </c>
      <c r="C52" s="36">
        <f>CONVERT('Finisher Model - ME Metric'!D15,"kg","lbm")</f>
        <v>90.389527495799797</v>
      </c>
      <c r="D52" s="42">
        <f>IF(C52="","",(E52-E51))</f>
        <v>71.110965378008416</v>
      </c>
      <c r="E52" s="35">
        <f t="shared" ref="E52:E57" si="18">IF(B53="","",((0.00463*B53^2 + 1.68*B53 - 22.05)/(((0.00463*$C$49^2 + 1.68*$C$49 - 22.05)-(0.00463*$B$49^2 + 1.68*$B$49 - 22.05))/($C$49-$B$49))*$D$49))</f>
        <v>128.74280177162473</v>
      </c>
      <c r="G52" s="30">
        <f>CONVERT('Finisher Model - ME Metric'!C15,"kg","lbm")</f>
        <v>50.706320302521839</v>
      </c>
      <c r="H52" s="36">
        <f>CONVERT('Finisher Model - ME Metric'!D15,"kg","lbm")</f>
        <v>90.389527495799797</v>
      </c>
      <c r="I52" s="42">
        <f>IF(H52="","",(J52-J51))</f>
        <v>71.110965378008416</v>
      </c>
      <c r="J52" s="35">
        <f t="shared" ref="J52:J57" si="19">IF(G53="","",((0.00463*G53^2 + 1.68*G53 - 22.05)/(((0.00463*$C$49^2 + 1.68*$C$49 - 22.05)-(0.00463*$B$49^2 + 1.68*$B$49 - 22.05))/($C$49-$B$49))*$D$49))</f>
        <v>128.74280177162473</v>
      </c>
    </row>
    <row r="53" spans="1:10">
      <c r="A53">
        <v>2</v>
      </c>
      <c r="B53" s="30">
        <f t="shared" ref="B53:B58" si="20">C52</f>
        <v>90.389527495799797</v>
      </c>
      <c r="C53" s="36">
        <f>CONVERT('Finisher Model - ME Metric'!D16,"kg","lbm")</f>
        <v>130.07273468907778</v>
      </c>
      <c r="D53" s="42">
        <f t="shared" ref="D53:D56" si="21">IF(C53="","",(E53-E52))</f>
        <v>82.310207291566854</v>
      </c>
      <c r="E53" s="35">
        <f t="shared" si="18"/>
        <v>211.05300906319158</v>
      </c>
      <c r="G53" s="30">
        <f t="shared" ref="G53:G58" si="22">H52</f>
        <v>90.389527495799797</v>
      </c>
      <c r="H53" s="36">
        <f>CONVERT(IF(AND('Finisher Model - ME Metric'!$E$11=2,'Finisher Model - ME Metric'!$E$6="Carcass"),'FW - Projected Performance - ME'!$B$34,'Finisher Model - ME Metric'!D16),"kg","lbm")</f>
        <v>130.07273468907778</v>
      </c>
      <c r="I53" s="42">
        <f t="shared" ref="I53:I56" si="23">IF(H53="","",(J53-J52))</f>
        <v>82.310207291566854</v>
      </c>
      <c r="J53" s="35">
        <f t="shared" si="19"/>
        <v>211.05300906319158</v>
      </c>
    </row>
    <row r="54" spans="1:10">
      <c r="A54">
        <v>3</v>
      </c>
      <c r="B54" s="30">
        <f t="shared" si="20"/>
        <v>130.07273468907778</v>
      </c>
      <c r="C54" s="36">
        <f>CONVERT('Finisher Model - ME Metric'!D17,"kg","lbm")</f>
        <v>180.77905499159959</v>
      </c>
      <c r="D54" s="42">
        <f t="shared" si="21"/>
        <v>121.4718159905909</v>
      </c>
      <c r="E54" s="35">
        <f t="shared" si="18"/>
        <v>332.52482505378248</v>
      </c>
      <c r="G54" s="30">
        <f t="shared" si="22"/>
        <v>130.07273468907778</v>
      </c>
      <c r="H54" s="36">
        <f>CONVERT(IF(AND('Finisher Model - ME Metric'!$E$11=3,'Finisher Model - ME Metric'!$E$6="Carcass"),'FW - Projected Performance - ME'!$B$34,'Finisher Model - ME Metric'!D17),"kg","lbm")</f>
        <v>180.77905499159959</v>
      </c>
      <c r="I54" s="42">
        <f t="shared" si="23"/>
        <v>121.4718159905909</v>
      </c>
      <c r="J54" s="35">
        <f t="shared" si="19"/>
        <v>332.52482505378248</v>
      </c>
    </row>
    <row r="55" spans="1:10">
      <c r="A55">
        <v>4</v>
      </c>
      <c r="B55" s="30">
        <f t="shared" si="20"/>
        <v>180.77905499159959</v>
      </c>
      <c r="C55" s="36">
        <f>CONVERT('Finisher Model - ME Metric'!D18,"kg","lbm")</f>
        <v>229.28075267227268</v>
      </c>
      <c r="D55" s="42">
        <f t="shared" si="21"/>
        <v>133.3003856101443</v>
      </c>
      <c r="E55" s="35">
        <f t="shared" si="18"/>
        <v>465.82521066392678</v>
      </c>
      <c r="G55" s="30">
        <f t="shared" si="22"/>
        <v>180.77905499159959</v>
      </c>
      <c r="H55" s="36">
        <f>CONVERT(IF(AND('Finisher Model - ME Metric'!$E$11=4,'Finisher Model - ME Metric'!$E$6="Carcass"),'FW - Projected Performance - ME'!$B$34,'Finisher Model - ME Metric'!D18),"kg","lbm")</f>
        <v>229.28075267227268</v>
      </c>
      <c r="I55" s="42">
        <f t="shared" si="23"/>
        <v>133.3003856101443</v>
      </c>
      <c r="J55" s="35">
        <f t="shared" si="19"/>
        <v>465.82521066392678</v>
      </c>
    </row>
    <row r="56" spans="1:10">
      <c r="A56">
        <v>5</v>
      </c>
      <c r="B56" s="30">
        <f t="shared" si="20"/>
        <v>229.28075267227268</v>
      </c>
      <c r="C56" s="36">
        <f>CONVERT('Finisher Model - ME Metric'!D19,"kg","lbm")</f>
        <v>286.6009408403408</v>
      </c>
      <c r="D56" s="42">
        <f t="shared" si="21"/>
        <v>179.10572970948135</v>
      </c>
      <c r="E56" s="35">
        <f t="shared" si="18"/>
        <v>644.93094037340813</v>
      </c>
      <c r="G56" s="30">
        <f t="shared" si="22"/>
        <v>229.28075267227268</v>
      </c>
      <c r="H56" s="36">
        <f>CONVERT(IF(AND('Finisher Model - ME Metric'!$E$11=5,'Finisher Model - ME Metric'!$E$6="Carcass"),'FW - Projected Performance - ME'!$B$34,'Finisher Model - ME Metric'!D19),"kg","lbm")</f>
        <v>286.6009408403408</v>
      </c>
      <c r="I56" s="42">
        <f t="shared" si="23"/>
        <v>179.10572970948135</v>
      </c>
      <c r="J56" s="35">
        <f t="shared" si="19"/>
        <v>644.93094037340813</v>
      </c>
    </row>
    <row r="57" spans="1:10" ht="16.5" thickBot="1">
      <c r="A57">
        <v>6</v>
      </c>
      <c r="B57" s="37">
        <f t="shared" si="20"/>
        <v>286.6009408403408</v>
      </c>
      <c r="C57" s="60">
        <f>CONVERT('Finisher Model - ME Metric'!D20,"kg","lbm")</f>
        <v>0</v>
      </c>
      <c r="D57" s="63">
        <f>IF(C57="","",(E57-E56))</f>
        <v>-661.86545306699145</v>
      </c>
      <c r="E57" s="64">
        <f t="shared" si="18"/>
        <v>-16.934512693583365</v>
      </c>
      <c r="G57" s="37">
        <f t="shared" si="22"/>
        <v>286.6009408403408</v>
      </c>
      <c r="H57" s="60">
        <f>CONVERT(IF(AND('Finisher Model - ME Metric'!$E$11=6,'Finisher Model - ME Metric'!$E$6="Carcass"),'FW - Projected Performance - ME'!$B$34,'Finisher Model - ME Metric'!D20),"kg","lbm")</f>
        <v>0</v>
      </c>
      <c r="I57" s="63">
        <f>IF(H57="","",(J57-J56))</f>
        <v>-661.86545306699145</v>
      </c>
      <c r="J57" s="64">
        <f t="shared" si="19"/>
        <v>-16.934512693583365</v>
      </c>
    </row>
    <row r="58" spans="1:10">
      <c r="B58" s="3">
        <f t="shared" si="20"/>
        <v>0</v>
      </c>
      <c r="C58" s="5"/>
      <c r="D58" s="5"/>
      <c r="E58" s="5"/>
      <c r="G58" s="3">
        <f t="shared" si="22"/>
        <v>0</v>
      </c>
      <c r="H58" s="5"/>
      <c r="I58" s="5"/>
      <c r="J58" s="5"/>
    </row>
    <row r="80" spans="2:9" ht="57.75">
      <c r="B80" s="47" t="s">
        <v>77</v>
      </c>
      <c r="C80" s="47" t="s">
        <v>78</v>
      </c>
      <c r="D80" s="294" t="s">
        <v>79</v>
      </c>
      <c r="E80" s="294"/>
      <c r="F80" s="294"/>
      <c r="G80" s="76"/>
      <c r="H80" s="5"/>
      <c r="I80" s="295" t="s">
        <v>80</v>
      </c>
    </row>
    <row r="81" spans="2:11">
      <c r="B81" s="48" t="s">
        <v>81</v>
      </c>
      <c r="C81" s="48" t="s">
        <v>81</v>
      </c>
      <c r="D81" s="48" t="s">
        <v>82</v>
      </c>
      <c r="E81" s="48" t="s">
        <v>83</v>
      </c>
      <c r="F81" s="48" t="s">
        <v>84</v>
      </c>
      <c r="G81" s="48"/>
      <c r="H81" s="48"/>
      <c r="I81" s="296"/>
      <c r="J81" s="48" t="s">
        <v>92</v>
      </c>
      <c r="K81" t="s">
        <v>153</v>
      </c>
    </row>
    <row r="82" spans="2:11">
      <c r="B82" s="47">
        <v>81</v>
      </c>
      <c r="C82" s="49">
        <v>110.17670623134534</v>
      </c>
      <c r="D82" s="6">
        <v>16.864782047899471</v>
      </c>
      <c r="E82" s="6">
        <v>14.510728742835685</v>
      </c>
      <c r="F82" s="49">
        <v>15.687755395367578</v>
      </c>
      <c r="G82" s="49"/>
      <c r="H82" s="50"/>
      <c r="I82" s="51">
        <v>0.73518262408316082</v>
      </c>
      <c r="J82" s="6">
        <f t="shared" ref="J82:J121" si="24">(I82*$B$38)*100</f>
        <v>73.594637850065354</v>
      </c>
      <c r="K82" s="6">
        <f t="shared" ref="K82:K121" si="25">J82*$B$42</f>
        <v>73.34133550512388</v>
      </c>
    </row>
    <row r="83" spans="2:11">
      <c r="B83" s="47">
        <v>82</v>
      </c>
      <c r="C83" s="49">
        <v>111.4039519642067</v>
      </c>
      <c r="D83" s="6">
        <v>17.074455706764272</v>
      </c>
      <c r="E83" s="6">
        <v>14.613701440729169</v>
      </c>
      <c r="F83" s="49">
        <v>15.844078573746721</v>
      </c>
      <c r="G83" s="49"/>
      <c r="H83" s="50"/>
      <c r="I83" s="51">
        <v>0.73606006388665657</v>
      </c>
      <c r="J83" s="6">
        <f t="shared" si="24"/>
        <v>73.682472984436259</v>
      </c>
      <c r="K83" s="6">
        <f t="shared" si="25"/>
        <v>73.428868323372924</v>
      </c>
    </row>
    <row r="84" spans="2:11">
      <c r="B84" s="47">
        <v>83</v>
      </c>
      <c r="C84" s="49">
        <v>112.6282752396024</v>
      </c>
      <c r="D84" s="6">
        <v>17.284147265806148</v>
      </c>
      <c r="E84" s="6">
        <v>14.71614342750836</v>
      </c>
      <c r="F84" s="49">
        <v>16.000145346657256</v>
      </c>
      <c r="G84" s="49"/>
      <c r="H84" s="50"/>
      <c r="I84" s="51">
        <v>0.73693750369015243</v>
      </c>
      <c r="J84" s="6">
        <f t="shared" si="24"/>
        <v>73.770308118807165</v>
      </c>
      <c r="K84" s="6">
        <f t="shared" si="25"/>
        <v>73.516401141621969</v>
      </c>
    </row>
    <row r="85" spans="2:11">
      <c r="B85" s="47">
        <v>84</v>
      </c>
      <c r="C85" s="49">
        <v>113.84968648405146</v>
      </c>
      <c r="D85" s="6">
        <v>17.493856510850449</v>
      </c>
      <c r="E85" s="6">
        <v>14.81806378371237</v>
      </c>
      <c r="F85" s="49">
        <v>16.155960147281409</v>
      </c>
      <c r="G85" s="49"/>
      <c r="H85" s="50"/>
      <c r="I85" s="51">
        <v>0.73781494349364829</v>
      </c>
      <c r="J85" s="6">
        <f t="shared" si="24"/>
        <v>73.858143253178099</v>
      </c>
      <c r="K85" s="6">
        <f t="shared" si="25"/>
        <v>73.603933959871043</v>
      </c>
    </row>
    <row r="86" spans="2:11">
      <c r="B86" s="47">
        <v>85</v>
      </c>
      <c r="C86" s="49">
        <v>115.06819607453319</v>
      </c>
      <c r="D86" s="6">
        <v>17.703583232804778</v>
      </c>
      <c r="E86" s="6">
        <v>14.919471328516645</v>
      </c>
      <c r="F86" s="49">
        <v>16.311527280660712</v>
      </c>
      <c r="G86" s="49"/>
      <c r="H86" s="50"/>
      <c r="I86" s="51">
        <v>0.73869238329714404</v>
      </c>
      <c r="J86" s="6">
        <f t="shared" si="24"/>
        <v>73.945978387549005</v>
      </c>
      <c r="K86" s="6">
        <f t="shared" si="25"/>
        <v>73.691466778120088</v>
      </c>
    </row>
    <row r="87" spans="2:11">
      <c r="B87" s="47">
        <v>86</v>
      </c>
      <c r="C87" s="49">
        <v>116.28381433878111</v>
      </c>
      <c r="D87" s="6">
        <v>17.913327227479776</v>
      </c>
      <c r="E87" s="6">
        <v>15.020374630235036</v>
      </c>
      <c r="F87" s="49">
        <v>16.466850928857404</v>
      </c>
      <c r="G87" s="49"/>
      <c r="H87" s="49"/>
      <c r="I87" s="51">
        <v>0.7395698231006399</v>
      </c>
      <c r="J87" s="6">
        <f t="shared" si="24"/>
        <v>74.033813521919924</v>
      </c>
      <c r="K87" s="6">
        <f t="shared" si="25"/>
        <v>73.778999596369147</v>
      </c>
    </row>
    <row r="88" spans="2:11">
      <c r="B88" s="47">
        <v>87</v>
      </c>
      <c r="C88" s="49">
        <v>117.49655155557477</v>
      </c>
      <c r="D88" s="6">
        <v>18.123088295418643</v>
      </c>
      <c r="E88" s="6">
        <v>15.120782016283018</v>
      </c>
      <c r="F88" s="49">
        <v>16.621935155850831</v>
      </c>
      <c r="G88" s="49"/>
      <c r="H88" s="49"/>
      <c r="I88" s="51">
        <v>0.74044726290413565</v>
      </c>
      <c r="J88" s="6">
        <f t="shared" si="24"/>
        <v>74.121648656290844</v>
      </c>
      <c r="K88" s="6">
        <f t="shared" si="25"/>
        <v>73.86653241461822</v>
      </c>
    </row>
    <row r="89" spans="2:11">
      <c r="B89" s="47">
        <v>88</v>
      </c>
      <c r="C89" s="49">
        <v>118.70641795502937</v>
      </c>
      <c r="D89" s="6">
        <v>18.332866241734184</v>
      </c>
      <c r="E89" s="6">
        <v>15.220701582635391</v>
      </c>
      <c r="F89" s="49">
        <v>16.776783912184786</v>
      </c>
      <c r="G89" s="49"/>
      <c r="H89" s="49"/>
      <c r="I89" s="51">
        <v>0.74132470270763151</v>
      </c>
      <c r="J89" s="6">
        <f t="shared" si="24"/>
        <v>74.20948379066175</v>
      </c>
      <c r="K89" s="6">
        <f t="shared" si="25"/>
        <v>73.954065232867265</v>
      </c>
    </row>
    <row r="90" spans="2:11">
      <c r="B90" s="47">
        <v>89</v>
      </c>
      <c r="C90" s="49">
        <v>119.91342371888354</v>
      </c>
      <c r="D90" s="6">
        <v>18.542660875953423</v>
      </c>
      <c r="E90" s="6">
        <v>15.320141202809715</v>
      </c>
      <c r="F90" s="49">
        <v>16.931401039381569</v>
      </c>
      <c r="G90" s="49"/>
      <c r="H90" s="49"/>
      <c r="I90" s="51">
        <v>0.74220214251112737</v>
      </c>
      <c r="J90" s="6">
        <f t="shared" si="24"/>
        <v>74.29731892503267</v>
      </c>
      <c r="K90" s="6">
        <f t="shared" si="25"/>
        <v>74.041598051116324</v>
      </c>
    </row>
    <row r="91" spans="2:11">
      <c r="B91" s="5">
        <v>90</v>
      </c>
      <c r="C91" s="49">
        <v>121.11757898078487</v>
      </c>
      <c r="D91" s="6">
        <v>18.752472011869195</v>
      </c>
      <c r="E91" s="6">
        <v>15.419108536404257</v>
      </c>
      <c r="F91" s="49">
        <v>17.085790274136727</v>
      </c>
      <c r="G91" s="49"/>
      <c r="H91" s="6"/>
      <c r="I91" s="51">
        <v>0.74307958231462312</v>
      </c>
      <c r="J91" s="6">
        <f t="shared" si="24"/>
        <v>74.38515405940359</v>
      </c>
      <c r="K91" s="6">
        <f t="shared" si="25"/>
        <v>74.129130869365383</v>
      </c>
    </row>
    <row r="92" spans="2:11">
      <c r="B92" s="5">
        <v>91</v>
      </c>
      <c r="C92" s="49">
        <v>122.31889382657351</v>
      </c>
      <c r="D92" s="6">
        <v>18.962299467398132</v>
      </c>
      <c r="E92" s="6">
        <v>15.517611037217174</v>
      </c>
      <c r="F92" s="49">
        <v>17.239955252307652</v>
      </c>
      <c r="G92" s="49"/>
      <c r="H92" s="6"/>
      <c r="I92" s="51">
        <v>0.74395702211811898</v>
      </c>
      <c r="J92" s="6">
        <f t="shared" si="24"/>
        <v>74.472989193774509</v>
      </c>
      <c r="K92" s="6">
        <f t="shared" si="25"/>
        <v>74.216663687614442</v>
      </c>
    </row>
    <row r="93" spans="2:11">
      <c r="B93" s="5">
        <v>92</v>
      </c>
      <c r="C93" s="49">
        <v>123.51737829456385</v>
      </c>
      <c r="D93" s="6">
        <v>19.172143064445141</v>
      </c>
      <c r="E93" s="6">
        <v>15.615655960971905</v>
      </c>
      <c r="F93" s="49">
        <v>17.393899512708522</v>
      </c>
      <c r="G93" s="49"/>
      <c r="H93" s="6"/>
      <c r="I93" s="51">
        <v>0.74483446192161473</v>
      </c>
      <c r="J93" s="6">
        <f t="shared" si="24"/>
        <v>74.560824328145415</v>
      </c>
      <c r="K93" s="6">
        <f t="shared" si="25"/>
        <v>74.304196505863487</v>
      </c>
    </row>
    <row r="94" spans="2:11">
      <c r="B94" s="5">
        <v>93</v>
      </c>
      <c r="C94" s="49">
        <v>124.71304237582397</v>
      </c>
      <c r="D94" s="6">
        <v>19.382002628773577</v>
      </c>
      <c r="E94" s="6">
        <v>15.713250372671933</v>
      </c>
      <c r="F94" s="49">
        <v>17.547626500722757</v>
      </c>
      <c r="G94" s="49"/>
      <c r="H94" s="6"/>
      <c r="I94" s="51">
        <v>0.74571190172511059</v>
      </c>
      <c r="J94" s="6">
        <f t="shared" si="24"/>
        <v>74.648659462516335</v>
      </c>
      <c r="K94" s="6">
        <f t="shared" si="25"/>
        <v>74.391729324112561</v>
      </c>
    </row>
    <row r="95" spans="2:11">
      <c r="B95" s="5">
        <v>94</v>
      </c>
      <c r="C95" s="49">
        <v>125.90589601445348</v>
      </c>
      <c r="D95" s="6">
        <v>19.591877989881006</v>
      </c>
      <c r="E95" s="6">
        <v>15.81040115360647</v>
      </c>
      <c r="F95" s="49">
        <v>17.701139571743738</v>
      </c>
      <c r="G95" s="49"/>
      <c r="H95" s="6"/>
      <c r="I95" s="51">
        <v>0.74658934152860634</v>
      </c>
      <c r="J95" s="6">
        <f t="shared" si="24"/>
        <v>74.736494596887255</v>
      </c>
      <c r="K95" s="6">
        <f t="shared" si="25"/>
        <v>74.47926214236162</v>
      </c>
    </row>
    <row r="96" spans="2:11">
      <c r="B96" s="5">
        <v>95</v>
      </c>
      <c r="C96" s="49">
        <v>127.09594910785896</v>
      </c>
      <c r="D96" s="6">
        <v>19.80176898088045</v>
      </c>
      <c r="E96" s="6">
        <v>15.907115008027194</v>
      </c>
      <c r="F96" s="49">
        <v>17.854441994453822</v>
      </c>
      <c r="G96" s="49"/>
      <c r="H96" s="6"/>
      <c r="I96" s="51">
        <v>0.7474667813321022</v>
      </c>
      <c r="J96" s="6">
        <f t="shared" si="24"/>
        <v>74.82432973125816</v>
      </c>
      <c r="K96" s="6">
        <f t="shared" si="25"/>
        <v>74.566794960610665</v>
      </c>
    </row>
    <row r="97" spans="2:11">
      <c r="B97" s="5">
        <v>96</v>
      </c>
      <c r="C97" s="49">
        <v>128.28321150702794</v>
      </c>
      <c r="D97" s="6">
        <v>20.011675438386312</v>
      </c>
      <c r="E97" s="6">
        <v>16.003398469514622</v>
      </c>
      <c r="F97" s="49">
        <v>18.007536953950467</v>
      </c>
      <c r="G97" s="49"/>
      <c r="H97" s="6"/>
      <c r="I97" s="51">
        <v>0.74834422113559795</v>
      </c>
      <c r="J97" s="6">
        <f t="shared" si="24"/>
        <v>74.912164865629066</v>
      </c>
      <c r="K97" s="6">
        <f t="shared" si="25"/>
        <v>74.654327778859709</v>
      </c>
    </row>
    <row r="98" spans="2:11">
      <c r="B98" s="5">
        <v>97</v>
      </c>
      <c r="C98" s="49">
        <v>129.46769301680052</v>
      </c>
      <c r="D98" s="6">
        <v>20.221597202405267</v>
      </c>
      <c r="E98" s="6">
        <v>16.099257907051943</v>
      </c>
      <c r="F98" s="49">
        <v>18.160427554728606</v>
      </c>
      <c r="G98" s="49"/>
      <c r="H98" s="6"/>
      <c r="I98" s="51">
        <v>0.74922166093909381</v>
      </c>
      <c r="J98" s="6">
        <f t="shared" si="24"/>
        <v>75</v>
      </c>
      <c r="K98" s="6">
        <f t="shared" si="25"/>
        <v>74.741860597108783</v>
      </c>
    </row>
    <row r="99" spans="2:11">
      <c r="B99" s="5">
        <v>98</v>
      </c>
      <c r="C99" s="49">
        <v>130.64940339613941</v>
      </c>
      <c r="D99" s="6">
        <v>20.43153411623155</v>
      </c>
      <c r="E99" s="6">
        <v>16.194699530822238</v>
      </c>
      <c r="F99" s="49">
        <v>18.313116823526894</v>
      </c>
      <c r="G99" s="49"/>
      <c r="H99" s="6"/>
      <c r="I99" s="51">
        <v>0.75009910074258968</v>
      </c>
      <c r="J99" s="6">
        <f t="shared" si="24"/>
        <v>75.08783513437092</v>
      </c>
      <c r="K99" s="6">
        <f t="shared" si="25"/>
        <v>74.829393415357842</v>
      </c>
    </row>
    <row r="100" spans="2:11">
      <c r="B100" s="5">
        <v>99</v>
      </c>
      <c r="C100" s="49">
        <v>131.82835235839786</v>
      </c>
      <c r="D100" s="6">
        <v>20.641486026346577</v>
      </c>
      <c r="E100" s="6">
        <v>16.289729397744711</v>
      </c>
      <c r="F100" s="49">
        <v>18.465607712045646</v>
      </c>
      <c r="G100" s="49"/>
      <c r="H100" s="6"/>
      <c r="I100" s="51">
        <v>0.75097654054608542</v>
      </c>
      <c r="J100" s="6">
        <f t="shared" si="24"/>
        <v>75.175670268741825</v>
      </c>
      <c r="K100" s="6">
        <f t="shared" si="25"/>
        <v>74.916926233606901</v>
      </c>
    </row>
    <row r="101" spans="2:11">
      <c r="B101" s="5">
        <v>100</v>
      </c>
      <c r="C101" s="49">
        <v>133.00454957158581</v>
      </c>
      <c r="D101" s="6">
        <v>20.851452782322603</v>
      </c>
      <c r="E101" s="6">
        <v>16.384353416763961</v>
      </c>
      <c r="F101" s="49">
        <v>18.617903099543284</v>
      </c>
      <c r="G101" s="49"/>
      <c r="H101" s="6"/>
      <c r="I101" s="51">
        <v>0.75185398034958129</v>
      </c>
      <c r="J101" s="6">
        <f t="shared" si="24"/>
        <v>75.263505403112745</v>
      </c>
      <c r="K101" s="6">
        <f t="shared" si="25"/>
        <v>75.00445905185596</v>
      </c>
    </row>
    <row r="102" spans="2:11">
      <c r="B102" s="5">
        <v>101</v>
      </c>
      <c r="C102" s="49">
        <v>134.17800465863434</v>
      </c>
      <c r="D102" s="6">
        <v>21.061434236730111</v>
      </c>
      <c r="E102" s="6">
        <v>16.478577353905742</v>
      </c>
      <c r="F102" s="49">
        <v>18.770005795317928</v>
      </c>
      <c r="G102" s="49"/>
      <c r="H102" s="6"/>
      <c r="I102" s="51">
        <v>0.75273142015307704</v>
      </c>
      <c r="J102" s="6">
        <f t="shared" si="24"/>
        <v>75.351340537483651</v>
      </c>
      <c r="K102" s="6">
        <f t="shared" si="25"/>
        <v>75.091991870105005</v>
      </c>
    </row>
    <row r="103" spans="2:11">
      <c r="B103" s="5">
        <v>102</v>
      </c>
      <c r="C103" s="49">
        <v>135.34872719765769</v>
      </c>
      <c r="D103" s="6">
        <v>21.27143024504899</v>
      </c>
      <c r="E103" s="6">
        <v>16.572406837111849</v>
      </c>
      <c r="F103" s="49">
        <v>18.921918541080419</v>
      </c>
      <c r="G103" s="49"/>
      <c r="H103" s="6"/>
      <c r="I103" s="51">
        <v>0.7536088599565729</v>
      </c>
      <c r="J103" s="6">
        <f t="shared" si="24"/>
        <v>75.439175671854571</v>
      </c>
      <c r="K103" s="6">
        <f t="shared" si="25"/>
        <v>75.179524688354064</v>
      </c>
    </row>
    <row r="104" spans="2:11">
      <c r="B104" s="5">
        <v>103</v>
      </c>
      <c r="C104" s="49">
        <v>136.51672672221434</v>
      </c>
      <c r="D104" s="6">
        <v>21.481440665583278</v>
      </c>
      <c r="E104" s="6">
        <v>16.665847360865602</v>
      </c>
      <c r="F104" s="49">
        <v>19.073644013224438</v>
      </c>
      <c r="G104" s="49"/>
      <c r="H104" s="6"/>
      <c r="I104" s="51">
        <v>0.75448629976006876</v>
      </c>
      <c r="J104" s="6">
        <f t="shared" si="24"/>
        <v>75.527010806225491</v>
      </c>
      <c r="K104" s="6">
        <f t="shared" si="25"/>
        <v>75.267057506603123</v>
      </c>
    </row>
    <row r="105" spans="2:11">
      <c r="B105" s="5">
        <v>104</v>
      </c>
      <c r="C105" s="49">
        <v>137.68201272156554</v>
      </c>
      <c r="D105" s="6">
        <v>21.69146535937886</v>
      </c>
      <c r="E105" s="6">
        <v>16.758904290619089</v>
      </c>
      <c r="F105" s="49">
        <v>19.225184824998976</v>
      </c>
      <c r="G105" s="49"/>
      <c r="H105" s="6"/>
      <c r="I105" s="51">
        <v>0.75536373956356451</v>
      </c>
      <c r="J105" s="6">
        <f t="shared" si="24"/>
        <v>75.61484594059641</v>
      </c>
      <c r="K105" s="6">
        <f t="shared" si="25"/>
        <v>75.354590324852182</v>
      </c>
    </row>
    <row r="106" spans="2:11">
      <c r="B106" s="5">
        <v>105</v>
      </c>
      <c r="C106" s="49">
        <v>138.84459464093223</v>
      </c>
      <c r="D106" s="6">
        <v>21.901504190144763</v>
      </c>
      <c r="E106" s="6">
        <v>16.851582867032572</v>
      </c>
      <c r="F106" s="49">
        <v>19.37654352858867</v>
      </c>
      <c r="G106" s="49"/>
      <c r="H106" s="6"/>
      <c r="I106" s="51">
        <v>0.75624117936706026</v>
      </c>
      <c r="J106" s="6">
        <f t="shared" si="24"/>
        <v>75.702681074967316</v>
      </c>
      <c r="K106" s="6">
        <f t="shared" si="25"/>
        <v>75.442123143101242</v>
      </c>
    </row>
    <row r="107" spans="2:11">
      <c r="B107" s="5">
        <v>106</v>
      </c>
      <c r="C107" s="49">
        <v>140.00448188175039</v>
      </c>
      <c r="D107" s="6">
        <v>22.111557024177106</v>
      </c>
      <c r="E107" s="6">
        <v>16.943888210035503</v>
      </c>
      <c r="F107" s="49">
        <v>19.527722617106306</v>
      </c>
      <c r="G107" s="49"/>
      <c r="H107" s="6"/>
      <c r="I107" s="51">
        <v>0.75711861917055612</v>
      </c>
      <c r="J107" s="6">
        <f t="shared" si="24"/>
        <v>75.790516209338236</v>
      </c>
      <c r="K107" s="6">
        <f t="shared" si="25"/>
        <v>75.529655961350301</v>
      </c>
    </row>
    <row r="108" spans="2:11">
      <c r="B108" s="5">
        <v>107</v>
      </c>
      <c r="C108" s="49">
        <v>141.16168380192445</v>
      </c>
      <c r="D108" s="6">
        <v>22.321623730286092</v>
      </c>
      <c r="E108" s="6">
        <v>17.035825322718448</v>
      </c>
      <c r="F108" s="49">
        <v>19.678724526502272</v>
      </c>
      <c r="G108" s="49"/>
      <c r="H108" s="6"/>
      <c r="I108" s="51">
        <v>0.75799605897405198</v>
      </c>
      <c r="J108" s="6">
        <f t="shared" si="24"/>
        <v>75.878351343709156</v>
      </c>
      <c r="K108" s="6">
        <f t="shared" si="25"/>
        <v>75.61718877959936</v>
      </c>
    </row>
    <row r="109" spans="2:11">
      <c r="B109" s="5">
        <v>108</v>
      </c>
      <c r="C109" s="49">
        <v>142.31620971607887</v>
      </c>
      <c r="D109" s="6">
        <v>22.531704179725708</v>
      </c>
      <c r="E109" s="6">
        <v>17.127399095064437</v>
      </c>
      <c r="F109" s="49">
        <v>19.82955163739507</v>
      </c>
      <c r="G109" s="49"/>
      <c r="H109" s="6"/>
      <c r="I109" s="51">
        <v>0.75887349877754773</v>
      </c>
      <c r="J109" s="6">
        <f t="shared" si="24"/>
        <v>75.966186478080061</v>
      </c>
      <c r="K109" s="6">
        <f t="shared" si="25"/>
        <v>75.704721597848405</v>
      </c>
    </row>
    <row r="110" spans="2:11">
      <c r="B110" s="5">
        <v>109</v>
      </c>
      <c r="C110" s="49">
        <v>143.46806889580807</v>
      </c>
      <c r="D110" s="6">
        <v>22.741798246125917</v>
      </c>
      <c r="E110" s="6">
        <v>17.218614307527691</v>
      </c>
      <c r="F110" s="49">
        <v>19.980206276826806</v>
      </c>
      <c r="G110" s="49"/>
      <c r="H110" s="6"/>
      <c r="I110" s="51">
        <v>0.75975093858104359</v>
      </c>
      <c r="J110" s="6">
        <f t="shared" si="24"/>
        <v>76.054021612450981</v>
      </c>
      <c r="K110" s="6">
        <f t="shared" si="25"/>
        <v>75.792254416097464</v>
      </c>
    </row>
    <row r="111" spans="2:11">
      <c r="B111" s="5">
        <v>110</v>
      </c>
      <c r="C111" s="49">
        <v>144.61727056992473</v>
      </c>
      <c r="D111" s="6">
        <v>22.951905805427518</v>
      </c>
      <c r="E111" s="6">
        <v>17.309475634467464</v>
      </c>
      <c r="F111" s="49">
        <v>20.130690719947491</v>
      </c>
      <c r="G111" s="49"/>
      <c r="H111" s="6"/>
      <c r="I111" s="51">
        <v>0.76062837838453934</v>
      </c>
      <c r="J111" s="6">
        <f t="shared" si="24"/>
        <v>76.141856746821901</v>
      </c>
      <c r="K111" s="6">
        <f t="shared" si="25"/>
        <v>75.879787234346523</v>
      </c>
    </row>
    <row r="112" spans="2:11">
      <c r="B112" s="5">
        <v>111</v>
      </c>
      <c r="C112" s="49">
        <v>145.76382392470609</v>
      </c>
      <c r="D112" s="6">
        <v>23.162026735819119</v>
      </c>
      <c r="E112" s="6">
        <v>17.399987647444007</v>
      </c>
      <c r="F112" s="49">
        <v>20.281007191631563</v>
      </c>
      <c r="G112" s="49"/>
      <c r="H112" s="6"/>
      <c r="I112" s="51">
        <v>0.7615058181880352</v>
      </c>
      <c r="J112" s="6">
        <f t="shared" si="24"/>
        <v>76.229691881192821</v>
      </c>
      <c r="K112" s="6">
        <f t="shared" si="25"/>
        <v>75.967320052595596</v>
      </c>
    </row>
    <row r="113" spans="2:11">
      <c r="B113" s="5">
        <v>112</v>
      </c>
      <c r="C113" s="49">
        <v>146.9077381041389</v>
      </c>
      <c r="D113" s="6">
        <v>23.372160917676677</v>
      </c>
      <c r="E113" s="6">
        <v>17.49015481838342</v>
      </c>
      <c r="F113" s="49">
        <v>20.431157868030049</v>
      </c>
      <c r="G113" s="49"/>
      <c r="H113" s="6"/>
      <c r="I113" s="51">
        <v>0.76238325799153106</v>
      </c>
      <c r="J113" s="6">
        <f t="shared" si="24"/>
        <v>76.317527015563741</v>
      </c>
      <c r="K113" s="6">
        <f t="shared" si="25"/>
        <v>76.054852870844655</v>
      </c>
    </row>
    <row r="114" spans="2:11">
      <c r="B114" s="5">
        <v>113</v>
      </c>
      <c r="C114" s="49">
        <v>148.04902221016243</v>
      </c>
      <c r="D114" s="6">
        <v>23.582308233504943</v>
      </c>
      <c r="E114" s="6">
        <v>17.579981522617746</v>
      </c>
      <c r="F114" s="49">
        <v>20.581144878061345</v>
      </c>
      <c r="G114" s="49"/>
      <c r="H114" s="6"/>
      <c r="I114" s="51">
        <v>0.76326069779502681</v>
      </c>
      <c r="J114" s="6">
        <f t="shared" si="24"/>
        <v>76.405362149934646</v>
      </c>
      <c r="K114" s="6">
        <f t="shared" si="25"/>
        <v>76.1423856890937</v>
      </c>
    </row>
    <row r="115" spans="2:11">
      <c r="B115" s="5">
        <v>114</v>
      </c>
      <c r="C115" s="49">
        <v>149.18768530290981</v>
      </c>
      <c r="D115" s="6">
        <v>23.792468567881055</v>
      </c>
      <c r="E115" s="6">
        <v>17.66947204180623</v>
      </c>
      <c r="F115" s="49">
        <v>20.730970304843645</v>
      </c>
      <c r="G115" s="49"/>
      <c r="H115" s="6"/>
      <c r="I115" s="51">
        <v>0.76413813759852267</v>
      </c>
      <c r="J115" s="6">
        <f t="shared" si="24"/>
        <v>76.493197284305566</v>
      </c>
      <c r="K115" s="6">
        <f t="shared" si="25"/>
        <v>76.229918507342759</v>
      </c>
    </row>
    <row r="116" spans="2:11">
      <c r="B116" s="5">
        <v>115</v>
      </c>
      <c r="C116" s="49">
        <v>150.32373640094792</v>
      </c>
      <c r="D116" s="6">
        <v>24.002641807400256</v>
      </c>
      <c r="E116" s="6">
        <v>17.758630566743491</v>
      </c>
      <c r="F116" s="49">
        <v>20.880636187071872</v>
      </c>
      <c r="G116" s="49"/>
      <c r="H116" s="6"/>
      <c r="I116" s="51">
        <v>0.76501557740201842</v>
      </c>
      <c r="J116" s="6">
        <f t="shared" si="24"/>
        <v>76.581032418676472</v>
      </c>
      <c r="K116" s="6">
        <f t="shared" si="25"/>
        <v>76.317451325591804</v>
      </c>
    </row>
    <row r="117" spans="2:11">
      <c r="B117" s="5">
        <v>116</v>
      </c>
      <c r="C117" s="49">
        <v>151.45718448151536</v>
      </c>
      <c r="D117" s="6">
        <v>24.212827840623181</v>
      </c>
      <c r="E117" s="6">
        <v>17.847461200059801</v>
      </c>
      <c r="F117" s="49">
        <v>21.030144520341491</v>
      </c>
      <c r="G117" s="49"/>
      <c r="H117" s="6"/>
      <c r="I117" s="51">
        <v>0.76589301720551428</v>
      </c>
      <c r="J117" s="6">
        <f t="shared" si="24"/>
        <v>76.668867553047392</v>
      </c>
      <c r="K117" s="6">
        <f t="shared" si="25"/>
        <v>76.404984143840863</v>
      </c>
    </row>
    <row r="118" spans="2:11">
      <c r="B118" s="5">
        <v>117</v>
      </c>
      <c r="C118" s="49">
        <v>152.58803848075902</v>
      </c>
      <c r="D118" s="6">
        <v>24.423026558025349</v>
      </c>
      <c r="E118" s="6">
        <v>17.935967958818601</v>
      </c>
      <c r="F118" s="49">
        <v>21.179497258421975</v>
      </c>
      <c r="G118" s="49"/>
      <c r="H118" s="6"/>
      <c r="I118" s="51">
        <v>0.76677045700901003</v>
      </c>
      <c r="J118" s="6">
        <f t="shared" si="24"/>
        <v>76.756702687418311</v>
      </c>
      <c r="K118" s="6">
        <f t="shared" si="25"/>
        <v>76.492516962089937</v>
      </c>
    </row>
    <row r="119" spans="2:11">
      <c r="B119" s="5">
        <v>118</v>
      </c>
      <c r="C119" s="49">
        <v>153.71630729396878</v>
      </c>
      <c r="D119" s="6">
        <v>24.633237851947925</v>
      </c>
      <c r="E119" s="6">
        <v>18.024154777015983</v>
      </c>
      <c r="F119" s="49">
        <v>21.328696314481952</v>
      </c>
      <c r="G119" s="49"/>
      <c r="H119" s="6"/>
      <c r="I119" s="51">
        <v>0.76764789681250589</v>
      </c>
      <c r="J119" s="6">
        <f t="shared" si="24"/>
        <v>76.844537821789231</v>
      </c>
      <c r="K119" s="6">
        <f t="shared" si="25"/>
        <v>76.580049780338996</v>
      </c>
    </row>
    <row r="120" spans="2:11">
      <c r="B120" s="5">
        <v>119</v>
      </c>
      <c r="C120" s="49">
        <v>154.84199977581099</v>
      </c>
      <c r="D120" s="6">
        <v>24.843461616550663</v>
      </c>
      <c r="E120" s="6">
        <v>18.112025507986587</v>
      </c>
      <c r="F120" s="49">
        <v>21.477743562268625</v>
      </c>
      <c r="G120" s="49"/>
      <c r="H120" s="6"/>
      <c r="I120" s="51">
        <v>0.76852533661600164</v>
      </c>
      <c r="J120" s="6">
        <f t="shared" si="24"/>
        <v>76.932372956160137</v>
      </c>
      <c r="K120" s="6">
        <f t="shared" si="25"/>
        <v>76.667582598588041</v>
      </c>
    </row>
    <row r="121" spans="2:11">
      <c r="B121" s="5">
        <v>120</v>
      </c>
      <c r="C121" s="49">
        <v>155.96512474055984</v>
      </c>
      <c r="D121" s="6">
        <v>25.053697747765945</v>
      </c>
      <c r="E121" s="6">
        <v>18.199583926720305</v>
      </c>
      <c r="F121" s="49">
        <v>21.626640837243123</v>
      </c>
      <c r="G121" s="49"/>
      <c r="H121" s="6"/>
      <c r="I121" s="51">
        <v>0.7694027764194975</v>
      </c>
      <c r="J121" s="6">
        <f t="shared" si="24"/>
        <v>77.020208090531057</v>
      </c>
      <c r="K121" s="6">
        <f t="shared" si="25"/>
        <v>76.7551154168371</v>
      </c>
    </row>
  </sheetData>
  <mergeCells count="10">
    <mergeCell ref="D80:F80"/>
    <mergeCell ref="I80:I81"/>
    <mergeCell ref="A1:O1"/>
    <mergeCell ref="A2:A4"/>
    <mergeCell ref="B2:G3"/>
    <mergeCell ref="J2:K3"/>
    <mergeCell ref="B46:E46"/>
    <mergeCell ref="B47:E47"/>
    <mergeCell ref="G46:J46"/>
    <mergeCell ref="G47:J4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AD216-5361-B046-AC42-2C036C539838}">
  <sheetPr codeName="Sheet11">
    <tabColor rgb="FFFF0000"/>
  </sheetPr>
  <dimension ref="A1:P94"/>
  <sheetViews>
    <sheetView zoomScale="85" zoomScaleNormal="85" workbookViewId="0">
      <selection activeCell="E87" sqref="E87:I95"/>
    </sheetView>
  </sheetViews>
  <sheetFormatPr defaultColWidth="10.625" defaultRowHeight="15.75"/>
  <cols>
    <col min="1" max="1" width="66.125" bestFit="1" customWidth="1"/>
    <col min="2" max="2" width="11.125" customWidth="1"/>
    <col min="3" max="3" width="11.625" bestFit="1" customWidth="1"/>
    <col min="4" max="4" width="11" bestFit="1" customWidth="1"/>
    <col min="5" max="6" width="11.625" bestFit="1" customWidth="1"/>
    <col min="7" max="7" width="11.625" customWidth="1"/>
    <col min="10" max="10" width="48.625" bestFit="1" customWidth="1"/>
    <col min="13" max="13" width="10.625" customWidth="1"/>
  </cols>
  <sheetData>
    <row r="1" spans="1:16" ht="21">
      <c r="A1" s="290" t="s">
        <v>26</v>
      </c>
      <c r="B1" s="290"/>
      <c r="C1" s="290"/>
      <c r="D1" s="290"/>
      <c r="E1" s="290"/>
      <c r="F1" s="290"/>
      <c r="G1" s="290"/>
      <c r="H1" s="290"/>
      <c r="I1" s="290"/>
      <c r="J1" s="290"/>
      <c r="K1" s="290"/>
      <c r="L1" s="290"/>
      <c r="M1" s="290"/>
      <c r="N1" s="290"/>
      <c r="O1" s="290"/>
    </row>
    <row r="2" spans="1:16">
      <c r="A2" s="291" t="s">
        <v>27</v>
      </c>
      <c r="B2" s="293" t="s">
        <v>28</v>
      </c>
      <c r="C2" s="293"/>
      <c r="D2" s="293"/>
      <c r="E2" s="293"/>
      <c r="F2" s="293"/>
      <c r="G2" s="293"/>
      <c r="H2" s="2"/>
      <c r="I2" s="2"/>
      <c r="J2" s="293" t="s">
        <v>29</v>
      </c>
      <c r="K2" s="293"/>
      <c r="L2" s="80"/>
      <c r="M2" s="2"/>
      <c r="N2" s="2"/>
      <c r="O2" s="2"/>
    </row>
    <row r="3" spans="1:16">
      <c r="A3" s="291"/>
      <c r="B3" s="293"/>
      <c r="C3" s="293"/>
      <c r="D3" s="293"/>
      <c r="E3" s="293"/>
      <c r="F3" s="293"/>
      <c r="G3" s="293"/>
      <c r="H3" s="2"/>
      <c r="I3" s="2"/>
      <c r="J3" s="293"/>
      <c r="K3" s="293"/>
      <c r="L3" s="80"/>
      <c r="M3" s="2"/>
      <c r="N3" s="2"/>
      <c r="O3" s="2"/>
    </row>
    <row r="4" spans="1:16">
      <c r="A4" s="291"/>
      <c r="B4" s="75">
        <v>1</v>
      </c>
      <c r="C4" s="75">
        <v>2</v>
      </c>
      <c r="D4" s="75">
        <v>3</v>
      </c>
      <c r="E4" s="75">
        <v>4</v>
      </c>
      <c r="F4" s="75">
        <v>5</v>
      </c>
      <c r="G4" s="75">
        <v>6</v>
      </c>
      <c r="H4" s="2"/>
      <c r="I4" s="2"/>
      <c r="J4" s="2" t="s">
        <v>27</v>
      </c>
      <c r="K4" s="2" t="s">
        <v>30</v>
      </c>
      <c r="L4" s="2">
        <v>2</v>
      </c>
      <c r="M4" s="2">
        <v>3</v>
      </c>
      <c r="N4" s="2">
        <v>4</v>
      </c>
      <c r="O4" s="2">
        <v>5</v>
      </c>
      <c r="P4" s="2">
        <v>6</v>
      </c>
    </row>
    <row r="5" spans="1:16">
      <c r="A5" t="s">
        <v>177</v>
      </c>
      <c r="B5" s="3">
        <f>'Finisher Model - ME Metric'!C15</f>
        <v>23</v>
      </c>
      <c r="C5" s="3">
        <f>'Finisher Model - ME Metric'!C16</f>
        <v>41</v>
      </c>
      <c r="D5" s="3">
        <f>'Finisher Model - ME Metric'!C17</f>
        <v>59</v>
      </c>
      <c r="E5" s="3">
        <f>'Finisher Model - ME Metric'!C18</f>
        <v>82</v>
      </c>
      <c r="F5" s="3">
        <f>'Finisher Model - ME Metric'!C19</f>
        <v>104</v>
      </c>
      <c r="G5" s="3" t="str">
        <f>'Finisher Model - ME Metric'!C20</f>
        <v/>
      </c>
      <c r="J5" t="s">
        <v>186</v>
      </c>
      <c r="K5" s="74">
        <f>IF('Finisher Model - ME Metric'!$E$11=2,L5,IF('Finisher Model - ME Metric'!$E$11=3,M5,IF('Finisher Model - ME Metric'!$E$11=4,N5,IF('Finisher Model - ME Metric'!$E$11=5,O5,IF('Finisher Model - ME Metric'!$E$11=6,P5,"")))))</f>
        <v>0.97649125891498267</v>
      </c>
      <c r="L5">
        <f>((SUM(B19:C19)/SUM(B16:C16)))</f>
        <v>0.97656100964901926</v>
      </c>
      <c r="M5">
        <f>((SUM(B19:D19)/SUM(B16:D16)))</f>
        <v>0.97647897807702388</v>
      </c>
      <c r="N5">
        <f>SUM(B19:E19)/SUM(B16:E16)</f>
        <v>0.97640793343870702</v>
      </c>
      <c r="O5">
        <f>SUM(B19:F19)/SUM(B16:F16)</f>
        <v>0.97649125891498267</v>
      </c>
      <c r="P5" t="e">
        <f>SUM(B19:G19)/SUM(B16:G16)</f>
        <v>#VALUE!</v>
      </c>
    </row>
    <row r="6" spans="1:16">
      <c r="A6" t="s">
        <v>178</v>
      </c>
      <c r="B6" s="3">
        <f>'Finisher Model - ME Metric'!D15</f>
        <v>41</v>
      </c>
      <c r="C6" s="3">
        <f>'Finisher Model - ME Metric'!D16</f>
        <v>59</v>
      </c>
      <c r="D6" s="3">
        <f>'Finisher Model - ME Metric'!D17</f>
        <v>82</v>
      </c>
      <c r="E6" s="3">
        <f>'Finisher Model - ME Metric'!D18</f>
        <v>104</v>
      </c>
      <c r="F6" s="3">
        <f>'Finisher Model - ME Metric'!D19</f>
        <v>130</v>
      </c>
      <c r="G6" s="3">
        <f>'Finisher Model - ME Metric'!D20</f>
        <v>0</v>
      </c>
      <c r="J6" t="s">
        <v>40</v>
      </c>
      <c r="K6" s="74">
        <f>IF('Finisher Model - ME Metric'!$E$11=2,L6,IF('Finisher Model - ME Metric'!$E$11=3,M6,IF('Finisher Model - ME Metric'!$E$11=4,N6,IF('Finisher Model - ME Metric'!$E$11=5,O6,IF('Finisher Model - ME Metric'!$E$11=6,P6,"")))))</f>
        <v>2.489680953671296</v>
      </c>
      <c r="L6">
        <f>SUM($B$17:$C$17)/SUM($B$19:$C$19)</f>
        <v>1.7096040718778618</v>
      </c>
      <c r="M6">
        <f>SUM($B$17:$D$17)/SUM($B$19:$D$19)</f>
        <v>1.8882468957413732</v>
      </c>
      <c r="N6">
        <f>SUM($B$17:$E$17)/SUM($B$19:$E$19)</f>
        <v>2.0527687935310115</v>
      </c>
      <c r="O6">
        <f>SUM($B$17:$F$17)/SUM($B$19:$F$19)</f>
        <v>2.489680953671296</v>
      </c>
      <c r="P6" t="e">
        <f>SUM($B$17:$G$17)/SUM($B$19:$G$19)</f>
        <v>#VALUE!</v>
      </c>
    </row>
    <row r="7" spans="1:16">
      <c r="A7" t="s">
        <v>185</v>
      </c>
      <c r="B7" s="3">
        <f>B6-B5</f>
        <v>18</v>
      </c>
      <c r="C7" s="3">
        <f t="shared" ref="C7:E7" si="0">C6-C5</f>
        <v>18</v>
      </c>
      <c r="D7" s="3">
        <f t="shared" si="0"/>
        <v>23</v>
      </c>
      <c r="E7" s="3">
        <f t="shared" si="0"/>
        <v>22</v>
      </c>
      <c r="F7" s="3">
        <f>F6-F5</f>
        <v>26</v>
      </c>
      <c r="G7" s="3" t="e">
        <f>G6-G5</f>
        <v>#VALUE!</v>
      </c>
      <c r="J7" t="s">
        <v>183</v>
      </c>
      <c r="K7" s="74">
        <f>IF('Finisher Model - ME Metric'!$E$11=2,L7,IF('Finisher Model - ME Metric'!$E$11=3,M7,IF('Finisher Model - ME Metric'!$E$11=4,N7,IF('Finisher Model - ME Metric'!$E$11=5,O7,IF('Finisher Model - ME Metric'!$E$11=6,P7,"")))))</f>
        <v>2.4311516887471387</v>
      </c>
      <c r="L7" s="24">
        <f>SUM(B17:C17)/SUM(B16:C16)</f>
        <v>1.669532678533119</v>
      </c>
      <c r="M7" s="24">
        <f>SUM(B17:D17)/SUM(B16:D16)</f>
        <v>1.8438333991106486</v>
      </c>
      <c r="N7" s="24">
        <f>SUM(B17:E17)/SUM(B16:E16)</f>
        <v>2.0043397355190828</v>
      </c>
      <c r="O7" s="11">
        <f>SUM(B17:F17)/SUM(B16:F16)</f>
        <v>2.4311516887471387</v>
      </c>
      <c r="P7" s="11" t="e">
        <f>SUM(B17:G17)/SUM(B16:G16)</f>
        <v>#VALUE!</v>
      </c>
    </row>
    <row r="8" spans="1:16">
      <c r="A8" t="s">
        <v>31</v>
      </c>
      <c r="B8" s="4">
        <f>'Finisher Model - ME Metric'!E15</f>
        <v>3300</v>
      </c>
      <c r="C8" s="4">
        <f>'Finisher Model - ME Metric'!E16</f>
        <v>3300</v>
      </c>
      <c r="D8" s="4">
        <f>'Finisher Model - ME Metric'!E17</f>
        <v>3300</v>
      </c>
      <c r="E8" s="4">
        <f>'Finisher Model - ME Metric'!E18</f>
        <v>3300</v>
      </c>
      <c r="F8" s="4">
        <f>'Finisher Model - ME Metric'!E19</f>
        <v>3300</v>
      </c>
      <c r="G8" s="4">
        <f>'Finisher Model - ME Metric'!E20</f>
        <v>0</v>
      </c>
      <c r="J8" t="s">
        <v>41</v>
      </c>
      <c r="K8" s="74">
        <f>IF('Finisher Model - ME Metric'!$E$11=2,L8,IF('Finisher Model - ME Metric'!$E$11=3,M8,IF('Finisher Model - ME Metric'!$E$11=4,N8,IF('Finisher Model - ME Metric'!$E$11=5,O8,IF('Finisher Model - ME Metric'!$E$11=6,P8,"")))))</f>
        <v>118.80788694667228</v>
      </c>
      <c r="L8" s="11">
        <f>SUM(B16:C16)</f>
        <v>40.532421266139899</v>
      </c>
      <c r="M8">
        <f>SUM(B16:D16)</f>
        <v>65.758842405604355</v>
      </c>
      <c r="N8">
        <f>SUM(B16:E16)</f>
        <v>89.826977886696625</v>
      </c>
      <c r="O8">
        <f>SUM(B16:F16)</f>
        <v>118.80788694667228</v>
      </c>
      <c r="P8" s="11" t="e">
        <f>SUM(B16:G16)</f>
        <v>#VALUE!</v>
      </c>
    </row>
    <row r="9" spans="1:16">
      <c r="A9" t="s">
        <v>32</v>
      </c>
      <c r="B9" s="5">
        <f>'Finisher Model - ME Metric'!J15</f>
        <v>403.74493250000006</v>
      </c>
      <c r="C9" s="5">
        <f>'Finisher Model - ME Metric'!J16</f>
        <v>379.39788125000007</v>
      </c>
      <c r="D9" s="5">
        <f>'Finisher Model - ME Metric'!J17</f>
        <v>358.10971249999994</v>
      </c>
      <c r="E9" s="5">
        <f>'Finisher Model - ME Metric'!J18</f>
        <v>343.00820250000004</v>
      </c>
      <c r="F9" s="5">
        <f>'Finisher Model - ME Metric'!J19</f>
        <v>334.32758999999999</v>
      </c>
      <c r="G9" s="5">
        <f>'Finisher Model - ME Metric'!J20</f>
        <v>0</v>
      </c>
      <c r="J9" t="s">
        <v>184</v>
      </c>
      <c r="K9" s="74">
        <f>IF('Finisher Model - ME Metric'!$E$11=2,L9,IF('Finisher Model - ME Metric'!$E$11=3,M9,IF('Finisher Model - ME Metric'!$E$11=4,N9,IF('Finisher Model - ME Metric'!$E$11=5,O9,IF('Finisher Model - ME Metric'!$E$11=6,P9,"")))))</f>
        <v>288.83999498688144</v>
      </c>
      <c r="L9" s="24">
        <f>SUM(B17:C17)</f>
        <v>67.670201843891306</v>
      </c>
      <c r="M9" s="24">
        <f>SUM(B17:D17)</f>
        <v>121.24834991430694</v>
      </c>
      <c r="N9" s="24">
        <f>SUM(B17:E17)</f>
        <v>180.04378109990003</v>
      </c>
      <c r="O9" s="24">
        <f>SUM(B17:F17)</f>
        <v>288.83999498688144</v>
      </c>
      <c r="P9" s="24" t="e">
        <f>SUM(B17:G17)</f>
        <v>#VALUE!</v>
      </c>
    </row>
    <row r="10" spans="1:16">
      <c r="A10" t="s">
        <v>180</v>
      </c>
      <c r="B10" s="3">
        <f>AVERAGE(B5:B6)</f>
        <v>32</v>
      </c>
      <c r="C10" s="3">
        <f t="shared" ref="C10:F10" si="1">AVERAGE(C5:C6)</f>
        <v>50</v>
      </c>
      <c r="D10" s="3">
        <f t="shared" si="1"/>
        <v>70.5</v>
      </c>
      <c r="E10" s="3">
        <f t="shared" si="1"/>
        <v>93</v>
      </c>
      <c r="F10" s="3">
        <f t="shared" si="1"/>
        <v>117</v>
      </c>
      <c r="G10" s="3">
        <f>AVERAGE(G5:G6)</f>
        <v>0</v>
      </c>
      <c r="J10" s="17" t="s">
        <v>42</v>
      </c>
      <c r="K10" s="74">
        <f>IF('Finisher Model - ME Metric'!$E$11=2,L10,IF('Finisher Model - ME Metric'!$E$11=3,M10,IF('Finisher Model - ME Metric'!$E$11=4,N10,IF('Finisher Model - ME Metric'!$E$11=5,O10,IF('Finisher Model - ME Metric'!$E$11=6,P10,"")))))</f>
        <v>112.64093594448043</v>
      </c>
      <c r="L10" s="15">
        <f>SUM(B18:C18)</f>
        <v>29.148382076872132</v>
      </c>
      <c r="M10" s="15">
        <f>SUM(B18:D18)</f>
        <v>50.302577448183015</v>
      </c>
      <c r="N10" s="17">
        <f>SUM(B18:E18)</f>
        <v>72.537765062496945</v>
      </c>
      <c r="O10" s="15">
        <f>SUM(B18:F18)</f>
        <v>112.64093594448043</v>
      </c>
      <c r="P10" s="15" t="e">
        <f>SUM(B18:G18)</f>
        <v>#VALUE!</v>
      </c>
    </row>
    <row r="11" spans="1:16" ht="16.5" thickBot="1">
      <c r="A11" t="s">
        <v>56</v>
      </c>
      <c r="B11" s="9">
        <f>IFERROR(651.36+531.33*'Finisher Model - ME Metric'!Q61-216.9*('Finisher Model - ME Metric'!Q61*'Finisher Model - ME Metric'!Q61),"")</f>
        <v>976.38518045127887</v>
      </c>
      <c r="C11" s="9">
        <f>IFERROR(651.36+531.33*'Finisher Model - ME Metric'!Q62-216.9*('Finisher Model - ME Metric'!Q62*'Finisher Model - ME Metric'!Q62),"")</f>
        <v>976.74090074151854</v>
      </c>
      <c r="D11" s="9">
        <f>IFERROR(651.36+531.33*'Finisher Model - ME Metric'!Q63-216.9*('Finisher Model - ME Metric'!Q63*'Finisher Model - ME Metric'!Q63),"")</f>
        <v>976.34717427438181</v>
      </c>
      <c r="E11" s="9">
        <f>IFERROR(651.36+531.33*'Finisher Model - ME Metric'!Q64-216.9*('Finisher Model - ME Metric'!Q64*'Finisher Model - ME Metric'!Q64),"")</f>
        <v>976.21382562431052</v>
      </c>
      <c r="F11" s="9">
        <f>IFERROR(651.36+531.33*'Finisher Model - ME Metric'!Q65-216.9*('Finisher Model - ME Metric'!Q65*'Finisher Model - ME Metric'!Q65),"")</f>
        <v>976.74952809830302</v>
      </c>
      <c r="G11" s="9" t="str">
        <f>IFERROR(651.36+531.33*'Finisher Model - ME Metric'!Q66-216.9*('Finisher Model - ME Metric'!Q66*'Finisher Model - ME Metric'!Q66),"")</f>
        <v/>
      </c>
      <c r="H11" s="23"/>
      <c r="J11" s="1" t="s">
        <v>43</v>
      </c>
      <c r="K11" s="20">
        <f>IF('Finisher Model - ME Metric'!$E$11=2,L11,IF('Finisher Model - ME Metric'!$E$11=3,M11,IF('Finisher Model - ME Metric'!$E$11=4,N11,IF('Finisher Model - ME Metric'!$E$11=5,O11,IF('Finisher Model - ME Metric'!$E$11=6,P11,"")))))</f>
        <v>131.65019785594799</v>
      </c>
      <c r="L11" s="16">
        <f>SUM(B21:C21)</f>
        <v>35.633569479454515</v>
      </c>
      <c r="M11" s="16">
        <f>SUM(B21:D21)</f>
        <v>60.823992233079714</v>
      </c>
      <c r="N11" s="1">
        <f>SUM(B21:E21)</f>
        <v>86.910081524368408</v>
      </c>
      <c r="O11" s="1">
        <f>SUM(B21:F21)</f>
        <v>131.65019785594799</v>
      </c>
      <c r="P11" s="16" t="e">
        <f>SUM(B21:G21)</f>
        <v>#VALUE!</v>
      </c>
    </row>
    <row r="12" spans="1:16">
      <c r="A12" t="s">
        <v>57</v>
      </c>
      <c r="B12" s="9">
        <f>IFERROR(338.34+108.98*'Finisher Model - ME Metric'!Q61-46.7864*('Finisher Model - ME Metric'!Q61*'Finisher Model - ME Metric'!Q61),"")</f>
        <v>401.32105977709807</v>
      </c>
      <c r="C12" s="9">
        <f>IFERROR(338.34+108.98*'Finisher Model - ME Metric'!Q62-46.7864*('Finisher Model - ME Metric'!Q62*'Finisher Model - ME Metric'!Q62),"")</f>
        <v>401.67311598237166</v>
      </c>
      <c r="D12" s="9">
        <f>IFERROR(338.34+108.98*'Finisher Model - ME Metric'!Q63-46.7864*('Finisher Model - ME Metric'!Q63*'Finisher Model - ME Metric'!Q63),"")</f>
        <v>401.78870264724287</v>
      </c>
      <c r="E12" s="9">
        <f>IFERROR(338.34+108.98*'Finisher Model - ME Metric'!Q64-46.7864*('Finisher Model - ME Metric'!Q64*'Finisher Model - ME Metric'!Q64),"")</f>
        <v>401.79708726836304</v>
      </c>
      <c r="F12" s="9">
        <f>IFERROR(338.34+108.98*'Finisher Model - ME Metric'!Q65-46.7864*('Finisher Model - ME Metric'!Q65*'Finisher Model - ME Metric'!Q65),"")</f>
        <v>401.65641054415255</v>
      </c>
      <c r="G12" s="9" t="str">
        <f>IFERROR(338.34+108.98*'Finisher Model - ME Metric'!Q66-46.7864*('Finisher Model - ME Metric'!Q66*'Finisher Model - ME Metric'!Q66),"")</f>
        <v/>
      </c>
      <c r="J12" s="13" t="s">
        <v>50</v>
      </c>
      <c r="K12" s="74">
        <f>IF('Finisher Model - ME Metric'!$E$11=2,L12,IF('Finisher Model - ME Metric'!$E$11=3,M12,IF('Finisher Model - ME Metric'!$E$11=4,N12,IF('Finisher Model - ME Metric'!$E$11=5,O12,IF('Finisher Model - ME Metric'!$E$11=6,P12,"")))))</f>
        <v>208.52229464037742</v>
      </c>
      <c r="L12" s="12">
        <f>SUM(B19:C19,'Finisher Model - ME Metric'!C15)*'Finisher Model - ME Metric'!E7</f>
        <v>93.873573352771444</v>
      </c>
      <c r="M12" s="12">
        <f>SUM(B19:D19,'Finisher Model - ME Metric'!C15)*'Finisher Model - ME Metric'!E7</f>
        <v>130.8181908476289</v>
      </c>
      <c r="N12" s="12">
        <f>SUM(B19:E19,'Finisher Model - ME Metric'!C15)*'Finisher Model - ME Metric'!E7</f>
        <v>166.06166076809083</v>
      </c>
      <c r="O12" s="12">
        <f>SUM(B19:F19,'Finisher Model - ME Metric'!C15)*'Finisher Model - ME Metric'!E7</f>
        <v>208.52229464037742</v>
      </c>
      <c r="P12" s="12" t="e">
        <f>SUM(B19:G19,'Finisher Model - ME Metric'!C15)*'Finisher Model - ME Metric'!E7</f>
        <v>#VALUE!</v>
      </c>
    </row>
    <row r="13" spans="1:16">
      <c r="A13" t="s">
        <v>58</v>
      </c>
      <c r="B13" s="6">
        <f t="shared" ref="B13:G13" si="2">(B11/B12)*1000</f>
        <v>2432.9278433421441</v>
      </c>
      <c r="C13" s="6">
        <f t="shared" si="2"/>
        <v>2431.68104082023</v>
      </c>
      <c r="D13" s="6">
        <f t="shared" si="2"/>
        <v>2430.001560127444</v>
      </c>
      <c r="E13" s="6">
        <f t="shared" si="2"/>
        <v>2429.6189707624499</v>
      </c>
      <c r="F13" s="6">
        <f t="shared" si="2"/>
        <v>2431.8036571980288</v>
      </c>
      <c r="G13" s="6" t="e">
        <f t="shared" si="2"/>
        <v>#VALUE!</v>
      </c>
      <c r="J13" s="17" t="s">
        <v>44</v>
      </c>
      <c r="K13" s="74">
        <f>IF('Finisher Model - ME Metric'!$E$11=2,L13,IF('Finisher Model - ME Metric'!$E$11=3,M13,IF('Finisher Model - ME Metric'!$E$11=4,N13,IF('Finisher Model - ME Metric'!$E$11=5,O13,IF('Finisher Model - ME Metric'!$E$11=6,P13,"")))))</f>
        <v>95.881358695896992</v>
      </c>
      <c r="L13" s="14">
        <f>L12-L10</f>
        <v>64.725191275899306</v>
      </c>
      <c r="M13" s="14">
        <f>M12-M10</f>
        <v>80.515613399445883</v>
      </c>
      <c r="N13" s="14">
        <f t="shared" ref="N13:O13" si="3">N12-N10</f>
        <v>93.523895705593887</v>
      </c>
      <c r="O13" s="14">
        <f t="shared" si="3"/>
        <v>95.881358695896992</v>
      </c>
      <c r="P13" s="14" t="e">
        <f>P12-P10</f>
        <v>#VALUE!</v>
      </c>
    </row>
    <row r="14" spans="1:16" ht="16.5" thickBot="1">
      <c r="A14" t="s">
        <v>60</v>
      </c>
      <c r="B14" s="74">
        <f>B13/B11</f>
        <v>2.4917705553638787</v>
      </c>
      <c r="C14" s="74">
        <f t="shared" ref="C14:G14" si="4">C13/C11</f>
        <v>2.4895865822493515</v>
      </c>
      <c r="D14" s="74">
        <f t="shared" si="4"/>
        <v>2.4888703774181695</v>
      </c>
      <c r="E14" s="74">
        <f t="shared" si="4"/>
        <v>2.4888184401697591</v>
      </c>
      <c r="F14" s="74">
        <f t="shared" si="4"/>
        <v>2.4896901275526235</v>
      </c>
      <c r="G14" s="74" t="e">
        <f t="shared" si="4"/>
        <v>#VALUE!</v>
      </c>
      <c r="J14" s="1" t="s">
        <v>45</v>
      </c>
      <c r="K14" s="20">
        <f>IF('Finisher Model - ME Metric'!$E$11=2,L14,IF('Finisher Model - ME Metric'!$E$11=3,M14,IF('Finisher Model - ME Metric'!$E$11=4,N14,IF('Finisher Model - ME Metric'!$E$11=5,O14,IF('Finisher Model - ME Metric'!$E$11=6,P14,"")))))</f>
        <v>76.872096784429431</v>
      </c>
      <c r="L14" s="16">
        <f>L12-L11</f>
        <v>58.24000387331693</v>
      </c>
      <c r="M14" s="16">
        <f>M12-M11</f>
        <v>69.994198614549191</v>
      </c>
      <c r="N14" s="16">
        <f t="shared" ref="N14:O14" si="5">N12-N11</f>
        <v>79.151579243722423</v>
      </c>
      <c r="O14" s="16">
        <f t="shared" si="5"/>
        <v>76.872096784429431</v>
      </c>
      <c r="P14" s="16" t="e">
        <f>P12-P11</f>
        <v>#VALUE!</v>
      </c>
    </row>
    <row r="15" spans="1:16">
      <c r="A15" t="s">
        <v>73</v>
      </c>
      <c r="B15" s="43">
        <f>IF('Finisher Model - ME Metric'!E11=2,SUMPRODUCT(B14:C14,B16:C16)/SUM(B16:C16),IF('Finisher Model - ME Metric'!E11=3,SUMPRODUCT(B14:D14,B16:D16)/SUM(B16:D16),IF('Finisher Model - ME Metric'!E11=4,SUMPRODUCT(B14:E14,B16:E16)/SUM(B16:E16),IF('Finisher Model - ME Metric'!E11=5,SUMPRODUCT(B14:F14,B16:F16)/SUM(B16:F16),IF('Finisher Model - ME Metric'!E11=6,SUMPRODUCT(B14:G14,B16:G16)/SUM(B16:G16),"")))))</f>
        <v>2.4896809536712956</v>
      </c>
      <c r="C15" s="74"/>
      <c r="D15" s="74"/>
      <c r="E15" s="74"/>
      <c r="F15" s="74"/>
      <c r="G15" s="74"/>
      <c r="J15" s="46" t="s">
        <v>74</v>
      </c>
      <c r="K15" s="74">
        <f>IF('Finisher Model - ME Metric'!$E$11=2,L15,IF('Finisher Model - ME Metric'!$E$11=3,M15,IF('Finisher Model - ME Metric'!$E$11=4,N15,IF('Finisher Model - ME Metric'!$E$11=5,O15,IF('Finisher Model - ME Metric'!$E$11=6,P15,"")))))</f>
        <v>103.90154675081811</v>
      </c>
      <c r="L15" s="23">
        <f>C25</f>
        <v>102.86667600841054</v>
      </c>
      <c r="M15" s="23">
        <f>D25</f>
        <v>103.90154675081811</v>
      </c>
      <c r="N15" s="23">
        <f>E25</f>
        <v>103.90154675081811</v>
      </c>
      <c r="O15" s="23">
        <f>F25</f>
        <v>103.90154675081811</v>
      </c>
      <c r="P15" s="23">
        <f>G25</f>
        <v>103.90154675081811</v>
      </c>
    </row>
    <row r="16" spans="1:16">
      <c r="A16" t="s">
        <v>39</v>
      </c>
      <c r="B16" s="22">
        <f>'Current Performance - ME'!B16</f>
        <v>20.497626205972331</v>
      </c>
      <c r="C16" s="22">
        <f>'Current Performance - ME'!C16</f>
        <v>20.034795060167568</v>
      </c>
      <c r="D16" s="22">
        <f>'Current Performance - ME'!D16</f>
        <v>25.226421139464449</v>
      </c>
      <c r="E16" s="22">
        <f>'Current Performance - ME'!E16</f>
        <v>24.068135481092273</v>
      </c>
      <c r="F16" s="22">
        <f>'Current Performance - ME'!F16</f>
        <v>28.980909059975652</v>
      </c>
      <c r="G16" s="22" t="e">
        <f>'Current Performance - ME'!G16</f>
        <v>#VALUE!</v>
      </c>
      <c r="H16" s="11">
        <f>IF('Finisher Model - ME Metric'!E11=2,SUM(B16:C16),IF('Finisher Model - ME Metric'!E11=3,SUM(B16:D16),IF('Finisher Model - ME Metric'!E11=4,SUM(B16:E16),IF('Finisher Model - ME Metric'!E11=5,SUM(B16:F16),IF('Finisher Model - ME Metric'!E11=6,SUM(B16:G16),"")))))</f>
        <v>118.80788694667228</v>
      </c>
      <c r="J16" t="s">
        <v>51</v>
      </c>
      <c r="K16" s="74">
        <f>IF('Finisher Model - ME Metric'!$E$11=2,L16,IF('Finisher Model - ME Metric'!$E$11=3,M16,IF('Finisher Model - ME Metric'!$E$11=4,N16,IF('Finisher Model - ME Metric'!$E$11=5,O16,IF('Finisher Model - ME Metric'!$E$11=6,P16,"")))))</f>
        <v>124.68185610098173</v>
      </c>
      <c r="L16">
        <f>SUM(L15*'Finisher Model - ME Metric'!$E$8)</f>
        <v>123.44001121009263</v>
      </c>
      <c r="M16">
        <f>SUM(M15*'Finisher Model - ME Metric'!$E$8)</f>
        <v>124.68185610098173</v>
      </c>
      <c r="N16">
        <f>SUM(N15*'Finisher Model - ME Metric'!$E$8)</f>
        <v>124.68185610098173</v>
      </c>
      <c r="O16">
        <f>SUM(O15*'Finisher Model - ME Metric'!$E$8)</f>
        <v>124.68185610098173</v>
      </c>
      <c r="P16">
        <f>SUM(P15*'Finisher Model - ME Metric'!$E$8)</f>
        <v>124.68185610098173</v>
      </c>
    </row>
    <row r="17" spans="1:16">
      <c r="A17" t="s">
        <v>176</v>
      </c>
      <c r="B17" s="25">
        <f>CONVERT(D43,"lbm","kg")</f>
        <v>31.365249637399458</v>
      </c>
      <c r="C17" s="25">
        <f>CONVERT(D44,"lbm","kg")</f>
        <v>36.304952206491855</v>
      </c>
      <c r="D17" s="25">
        <f>CONVERT(D45,"lbm","kg")</f>
        <v>53.578148070415644</v>
      </c>
      <c r="E17" s="25">
        <f>CONVERT(D46,"lbm","kg")</f>
        <v>58.795431185593088</v>
      </c>
      <c r="F17" s="25">
        <f>CONVERT(D47,"lbm","kg")</f>
        <v>108.79621388698139</v>
      </c>
      <c r="G17" s="25" t="e">
        <f>CONVERT(D48,"lbm","kg")</f>
        <v>#VALUE!</v>
      </c>
      <c r="H17" s="11"/>
      <c r="J17" t="s">
        <v>52</v>
      </c>
      <c r="K17" s="74">
        <f>IF('Finisher Model - ME Metric'!$E$11=2,L17,IF('Finisher Model - ME Metric'!$E$11=3,M17,IF('Finisher Model - ME Metric'!$E$11=4,N17,IF('Finisher Model - ME Metric'!$E$11=5,O17,IF('Finisher Model - ME Metric'!$E$11=6,P17,"")))))</f>
        <v>12.040920156501301</v>
      </c>
      <c r="L17" s="11">
        <f>L16-L10</f>
        <v>94.291629133220511</v>
      </c>
      <c r="M17" s="11">
        <f>M16-M10</f>
        <v>74.379278652798718</v>
      </c>
      <c r="N17">
        <f>N16-N10</f>
        <v>52.144091038484788</v>
      </c>
      <c r="O17">
        <f>O16-O10</f>
        <v>12.040920156501301</v>
      </c>
      <c r="P17" s="11" t="e">
        <f>P16-P10</f>
        <v>#VALUE!</v>
      </c>
    </row>
    <row r="18" spans="1:16" ht="16.5" thickBot="1">
      <c r="A18" t="s">
        <v>33</v>
      </c>
      <c r="B18" s="6">
        <f>(B17*(B9/907))</f>
        <v>13.96202932491455</v>
      </c>
      <c r="C18" s="6">
        <f t="shared" ref="C18:G18" si="6">(C17*(C9/907))</f>
        <v>15.18635275195758</v>
      </c>
      <c r="D18" s="6">
        <f t="shared" si="6"/>
        <v>21.154195371310887</v>
      </c>
      <c r="E18" s="6">
        <f t="shared" si="6"/>
        <v>22.235187614313929</v>
      </c>
      <c r="F18" s="6">
        <f>(F17*(F9/907))</f>
        <v>40.103170881983488</v>
      </c>
      <c r="G18" s="6" t="e">
        <f t="shared" si="6"/>
        <v>#VALUE!</v>
      </c>
      <c r="H18" s="11"/>
      <c r="J18" s="1" t="s">
        <v>54</v>
      </c>
      <c r="K18" s="20">
        <f>IF('Finisher Model - ME Metric'!$E$11=2,L18,IF('Finisher Model - ME Metric'!$E$11=3,M18,IF('Finisher Model - ME Metric'!$E$11=4,N18,IF('Finisher Model - ME Metric'!$E$11=5,O18,IF('Finisher Model - ME Metric'!$E$11=6,P18,"")))))</f>
        <v>-6.9683417549662607</v>
      </c>
      <c r="L18" s="16">
        <f>L16-L11</f>
        <v>87.806441730638113</v>
      </c>
      <c r="M18" s="16">
        <f>M16-M11</f>
        <v>63.857863867902019</v>
      </c>
      <c r="N18" s="1">
        <f>N16-N11</f>
        <v>37.771774576613325</v>
      </c>
      <c r="O18" s="1">
        <f>O16-O11</f>
        <v>-6.9683417549662607</v>
      </c>
      <c r="P18" s="16" t="e">
        <f>P16-P11</f>
        <v>#VALUE!</v>
      </c>
    </row>
    <row r="19" spans="1:16">
      <c r="A19" t="s">
        <v>174</v>
      </c>
      <c r="B19" s="6">
        <f>B11/1000*B16</f>
        <v>20.013578461941158</v>
      </c>
      <c r="C19" s="6">
        <f t="shared" ref="C19:G19" si="7">C11/1000*C16</f>
        <v>19.568803773239797</v>
      </c>
      <c r="D19" s="6">
        <f t="shared" si="7"/>
        <v>24.629744996571645</v>
      </c>
      <c r="E19" s="6">
        <f t="shared" si="7"/>
        <v>23.495646613641291</v>
      </c>
      <c r="F19" s="6">
        <f t="shared" si="7"/>
        <v>28.307089248191055</v>
      </c>
      <c r="G19" s="6" t="e">
        <f t="shared" si="7"/>
        <v>#VALUE!</v>
      </c>
      <c r="H19" s="11">
        <f>IF('Finisher Model - ME Metric'!E11=2,SUM(B19:C19)+'Finisher Model - ME Metric'!C15,IF('Finisher Model - ME Metric'!E11=3,SUM(B19:D19)+'Finisher Model - ME Metric'!C15,IF('Finisher Model - ME Metric'!E11=4,SUM(B19:E19)+'Finisher Model - ME Metric'!C15,IF('Finisher Model - ME Metric'!E11=5,SUM(B19:F19)+'Finisher Model - ME Metric'!C15,IF('Finisher Model - ME Metric'!E11=6,SUM(B19:G19)+'Finisher Model - ME Metric'!C15,"")))))</f>
        <v>139.01486309358495</v>
      </c>
      <c r="I19" s="6"/>
    </row>
    <row r="20" spans="1:16">
      <c r="A20" t="s">
        <v>181</v>
      </c>
      <c r="B20" s="74">
        <f>B18/((B11/1000)*B16)</f>
        <v>0.69762783059838385</v>
      </c>
      <c r="C20" s="74">
        <f t="shared" ref="C20:G20" si="8">C18/((C11/1000)*C16)</f>
        <v>0.77604910999847687</v>
      </c>
      <c r="D20" s="74">
        <f t="shared" si="8"/>
        <v>0.85888811980211166</v>
      </c>
      <c r="E20" s="74">
        <f t="shared" si="8"/>
        <v>0.9463535087987085</v>
      </c>
      <c r="F20" s="74">
        <f t="shared" si="8"/>
        <v>1.4167182831963641</v>
      </c>
      <c r="G20" s="74" t="e">
        <f t="shared" si="8"/>
        <v>#VALUE!</v>
      </c>
    </row>
    <row r="21" spans="1:16">
      <c r="A21" t="s">
        <v>35</v>
      </c>
      <c r="B21" s="74">
        <f>B18+(B16*'Finisher Model - ME Metric'!$E$10)</f>
        <v>17.241649517870123</v>
      </c>
      <c r="C21" s="74">
        <f>C18+(C16*'Finisher Model - ME Metric'!$E$10)</f>
        <v>18.391919961584392</v>
      </c>
      <c r="D21" s="74">
        <f>D18+(D16*'Finisher Model - ME Metric'!$E$10)</f>
        <v>25.190422753625199</v>
      </c>
      <c r="E21" s="74">
        <f>E18+(E16*'Finisher Model - ME Metric'!$E$10)</f>
        <v>26.086089291288694</v>
      </c>
      <c r="F21" s="74">
        <f>F18+(F16*'Finisher Model - ME Metric'!$E$10)</f>
        <v>44.740116331579593</v>
      </c>
      <c r="G21" s="74" t="e">
        <f>G18+(G16*'Finisher Model - ME Metric'!$E$10)</f>
        <v>#VALUE!</v>
      </c>
      <c r="I21" s="28"/>
      <c r="K21" s="74"/>
      <c r="L21" s="74"/>
    </row>
    <row r="22" spans="1:16">
      <c r="A22" t="s">
        <v>36</v>
      </c>
      <c r="B22" s="74">
        <f>B19*'Finisher Model - ME Metric'!$E$7</f>
        <v>30.020367692911737</v>
      </c>
      <c r="C22" s="74">
        <f>C19*'Finisher Model - ME Metric'!$E$7</f>
        <v>29.353205659859697</v>
      </c>
      <c r="D22" s="74">
        <f>D19*'Finisher Model - ME Metric'!$E$7</f>
        <v>36.944617494857468</v>
      </c>
      <c r="E22" s="74">
        <f>E19*'Finisher Model - ME Metric'!$E$7</f>
        <v>35.243469920461933</v>
      </c>
      <c r="F22" s="74">
        <f>F19*'Finisher Model - ME Metric'!$E$7</f>
        <v>42.460633872286579</v>
      </c>
      <c r="G22" s="74" t="e">
        <f>G19*'Finisher Model - ME Metric'!$E$7</f>
        <v>#VALUE!</v>
      </c>
      <c r="K22" s="74"/>
      <c r="L22" s="74"/>
    </row>
    <row r="23" spans="1:16">
      <c r="A23" t="s">
        <v>37</v>
      </c>
      <c r="B23" s="74">
        <f t="shared" ref="B23:G23" si="9">B22-B18</f>
        <v>16.058338367997187</v>
      </c>
      <c r="C23" s="74">
        <f t="shared" si="9"/>
        <v>14.166852907902117</v>
      </c>
      <c r="D23" s="74">
        <f t="shared" si="9"/>
        <v>15.79042212354658</v>
      </c>
      <c r="E23" s="74">
        <f t="shared" si="9"/>
        <v>13.008282306148004</v>
      </c>
      <c r="F23" s="74">
        <f t="shared" si="9"/>
        <v>2.357462990303091</v>
      </c>
      <c r="G23" s="74" t="e">
        <f t="shared" si="9"/>
        <v>#VALUE!</v>
      </c>
    </row>
    <row r="24" spans="1:16">
      <c r="A24" t="s">
        <v>38</v>
      </c>
      <c r="B24" s="74">
        <f t="shared" ref="B24:G24" si="10">B22-B21</f>
        <v>12.778718175041615</v>
      </c>
      <c r="C24" s="74">
        <f t="shared" si="10"/>
        <v>10.961285698275304</v>
      </c>
      <c r="D24" s="74">
        <f t="shared" si="10"/>
        <v>11.754194741232268</v>
      </c>
      <c r="E24" s="74">
        <f t="shared" si="10"/>
        <v>9.1573806291732396</v>
      </c>
      <c r="F24" s="74">
        <f t="shared" si="10"/>
        <v>-2.2794824592930141</v>
      </c>
      <c r="G24" s="74" t="e">
        <f t="shared" si="10"/>
        <v>#VALUE!</v>
      </c>
    </row>
    <row r="25" spans="1:16">
      <c r="A25" t="s">
        <v>160</v>
      </c>
      <c r="B25" s="6">
        <f>$H$19*IF('Finisher Model - ME Metric'!E9&lt;76,'FT - Projected Performance - ME'!B33,'FT - Projected Performance - ME'!$B$34)/100</f>
        <v>103.90154675081811</v>
      </c>
      <c r="C25" s="6">
        <f>$H$19*IF('Finisher Model - ME Metric'!F9&lt;76,'FT - Projected Performance - ME'!C33,'FT - Projected Performance - ME'!$B$34)/100</f>
        <v>102.86667600841054</v>
      </c>
      <c r="D25" s="6">
        <f>$H$19*IF('Finisher Model - ME Metric'!G9&lt;76,'FT - Projected Performance - ME'!D33,'FT - Projected Performance - ME'!$B$34)/100</f>
        <v>103.90154675081811</v>
      </c>
      <c r="E25" s="6">
        <f>$H$19*IF('Finisher Model - ME Metric'!H9&lt;76,'FT - Projected Performance - ME'!E33,'FT - Projected Performance - ME'!$B$34)/100</f>
        <v>103.90154675081811</v>
      </c>
      <c r="F25" s="6">
        <f>$H$19*IF('Finisher Model - ME Metric'!I9&lt;76,'FT - Projected Performance - ME'!F33,'FT - Projected Performance - ME'!$B$34)/100</f>
        <v>103.90154675081811</v>
      </c>
      <c r="G25" s="6">
        <f>$H$19*IF('Finisher Model - ME Metric'!J9&lt;76,'FT - Projected Performance - ME'!G33,'FT - Projected Performance - ME'!$B$34)/100</f>
        <v>103.90154675081811</v>
      </c>
    </row>
    <row r="26" spans="1:16">
      <c r="A26" t="s">
        <v>159</v>
      </c>
      <c r="B26" s="74">
        <f>(VLOOKUP($H$19,$C$55:$I$94,7,TRUE))*100</f>
        <v>75.624117936706028</v>
      </c>
      <c r="C26" s="74">
        <f t="shared" ref="C26:G26" si="11">(VLOOKUP($H$19,$C$55:$I$94,7,TRUE))*100</f>
        <v>75.624117936706028</v>
      </c>
      <c r="D26" s="74">
        <f t="shared" si="11"/>
        <v>75.624117936706028</v>
      </c>
      <c r="E26" s="74">
        <f t="shared" si="11"/>
        <v>75.624117936706028</v>
      </c>
      <c r="F26" s="74">
        <f t="shared" si="11"/>
        <v>75.624117936706028</v>
      </c>
      <c r="G26" s="74">
        <f t="shared" si="11"/>
        <v>75.624117936706028</v>
      </c>
    </row>
    <row r="27" spans="1:16">
      <c r="A27" t="s">
        <v>90</v>
      </c>
      <c r="B27" s="6">
        <f>'Finisher Model - ME Metric'!E9</f>
        <v>75</v>
      </c>
      <c r="C27" s="6"/>
      <c r="D27" s="6"/>
      <c r="E27" s="6"/>
      <c r="F27" s="6"/>
      <c r="G27" s="6"/>
    </row>
    <row r="28" spans="1:16">
      <c r="A28" t="s">
        <v>91</v>
      </c>
      <c r="B28" s="53">
        <f>B27/B26</f>
        <v>0.99174710457808724</v>
      </c>
      <c r="C28" s="6"/>
      <c r="D28" s="6"/>
      <c r="E28" s="6"/>
      <c r="F28" s="6"/>
      <c r="G28" s="6"/>
      <c r="J28" t="s">
        <v>149</v>
      </c>
    </row>
    <row r="29" spans="1:16">
      <c r="A29" t="s">
        <v>164</v>
      </c>
      <c r="B29" s="93">
        <f>'Finisher Model - ME Metric'!Q61</f>
        <v>1.2660460611249293</v>
      </c>
      <c r="C29" s="93">
        <f>'Finisher Model - ME Metric'!Q62</f>
        <v>1.2171471214761753</v>
      </c>
      <c r="D29" s="93">
        <f>'Finisher Model - ME Metric'!Q63</f>
        <v>1.1815347726103322</v>
      </c>
      <c r="E29" s="93">
        <f>'Finisher Model - ME Metric'!Q64</f>
        <v>1.174937033738829</v>
      </c>
      <c r="F29" s="93">
        <f>'Finisher Model - ME Metric'!Q65</f>
        <v>1.2204445896608722</v>
      </c>
      <c r="G29" s="93" t="str">
        <f>'Finisher Model - ME Metric'!Q66</f>
        <v/>
      </c>
      <c r="H29">
        <f>IF('Finisher Model - ME Metric'!E11=2,SUMPRODUCT(B29:C29,B16:C16)/SUM(B16:C16),IF('Finisher Model - ME Metric'!E11=3,SUMPRODUCT(B29:D29,B16:D16)/SUM(B16:D16),IF('Finisher Model - ME Metric'!E11=4,SUMPRODUCT(B29:E29,B16:E16)/SUM(B16:E16),IF('Finisher Model - ME Metric'!E11=5,SUMPRODUCT(B29:F29,B16:F16)/SUM(B16:F16),IF('Finisher Model - ME Metric'!E11=6,SUMPRODUCT(B29:G29,B16:G16)/SUM(B16:G16),"")))))</f>
        <v>1.2102754025256011</v>
      </c>
    </row>
    <row r="30" spans="1:16">
      <c r="A30" t="s">
        <v>162</v>
      </c>
      <c r="B30" s="6">
        <f>73.859-1.19192*H29</f>
        <v>72.416448542221687</v>
      </c>
      <c r="C30" s="6"/>
      <c r="D30" s="6"/>
      <c r="E30" s="6"/>
      <c r="F30" s="6"/>
      <c r="G30" s="6"/>
      <c r="J30" t="s">
        <v>150</v>
      </c>
    </row>
    <row r="31" spans="1:16">
      <c r="A31" t="s">
        <v>154</v>
      </c>
      <c r="B31" s="6">
        <f>73.859-1.19192*1</f>
        <v>72.667079999999999</v>
      </c>
      <c r="C31" s="6"/>
      <c r="D31" s="6"/>
      <c r="E31" s="6"/>
      <c r="F31" s="6"/>
      <c r="G31" s="6"/>
    </row>
    <row r="32" spans="1:16">
      <c r="A32" t="s">
        <v>156</v>
      </c>
      <c r="B32" s="53">
        <f>B30/B31</f>
        <v>0.99655096285995926</v>
      </c>
      <c r="C32" s="3"/>
      <c r="D32" s="3"/>
      <c r="E32" s="3"/>
      <c r="F32" s="3"/>
      <c r="G32" s="3"/>
    </row>
    <row r="33" spans="1:7">
      <c r="A33" t="s">
        <v>157</v>
      </c>
      <c r="B33" s="74">
        <f>(VLOOKUP($H$19,$C$55:$K$94,9,TRUE))</f>
        <v>74.741322214496932</v>
      </c>
      <c r="C33" s="74">
        <f t="shared" ref="C33:G33" si="12">(VLOOKUP($H$19,$C$55:$K$94,9,TRUE))</f>
        <v>74.741322214496932</v>
      </c>
      <c r="D33" s="74">
        <f t="shared" si="12"/>
        <v>74.741322214496932</v>
      </c>
      <c r="E33" s="74">
        <f t="shared" si="12"/>
        <v>74.741322214496932</v>
      </c>
      <c r="F33" s="74">
        <f t="shared" si="12"/>
        <v>74.741322214496932</v>
      </c>
      <c r="G33" s="74">
        <f t="shared" si="12"/>
        <v>74.741322214496932</v>
      </c>
    </row>
    <row r="34" spans="1:7">
      <c r="A34" t="s">
        <v>231</v>
      </c>
      <c r="B34" s="53">
        <f>'Current Performance - ME'!B36</f>
        <v>73.996890490163338</v>
      </c>
      <c r="C34" s="74"/>
      <c r="D34" s="74"/>
      <c r="E34" s="74"/>
      <c r="F34" s="74"/>
      <c r="G34" s="74"/>
    </row>
    <row r="35" spans="1:7">
      <c r="B35" s="74"/>
      <c r="C35" s="74"/>
      <c r="D35" s="74"/>
      <c r="E35" s="74"/>
      <c r="F35" s="74"/>
      <c r="G35" s="74"/>
    </row>
    <row r="36" spans="1:7" ht="16.5" thickBot="1"/>
    <row r="37" spans="1:7" ht="16.5" thickBot="1">
      <c r="B37" s="297" t="s">
        <v>61</v>
      </c>
      <c r="C37" s="298"/>
      <c r="D37" s="298"/>
      <c r="E37" s="299"/>
    </row>
    <row r="38" spans="1:7" ht="16.5" thickBot="1">
      <c r="B38" s="287" t="s">
        <v>62</v>
      </c>
      <c r="C38" s="288"/>
      <c r="D38" s="288"/>
      <c r="E38" s="289"/>
    </row>
    <row r="39" spans="1:7" ht="16.5" thickBot="1">
      <c r="B39" s="34" t="s">
        <v>63</v>
      </c>
      <c r="C39" s="38" t="s">
        <v>64</v>
      </c>
      <c r="D39" s="38" t="s">
        <v>65</v>
      </c>
      <c r="E39" s="32"/>
    </row>
    <row r="40" spans="1:7" ht="16.5" thickBot="1">
      <c r="B40" s="39">
        <f>CONVERT('Finisher Model - ME Metric'!C15,"kg","lbm")</f>
        <v>50.706320302521839</v>
      </c>
      <c r="C40" s="39">
        <f>CONVERT(H19,"kg","lbm")</f>
        <v>306.47531194932787</v>
      </c>
      <c r="D40" s="44">
        <f>B15</f>
        <v>2.4896809536712956</v>
      </c>
      <c r="E40" s="32"/>
    </row>
    <row r="41" spans="1:7">
      <c r="B41" s="34"/>
      <c r="C41" s="31"/>
      <c r="D41" s="31"/>
      <c r="E41" s="40"/>
    </row>
    <row r="42" spans="1:7">
      <c r="B42" s="34" t="s">
        <v>63</v>
      </c>
      <c r="C42" s="31" t="s">
        <v>64</v>
      </c>
      <c r="D42" s="41" t="s">
        <v>66</v>
      </c>
      <c r="E42" s="35">
        <f>IF(B43=0,F42,((0.00463*B43^2 + 1.68*B43 - 22.05)/(((0.00463*C40^2 + 1.68*C40 - 22.05)-(0.00463*B40^2 + 1.68*B40 - 22.05))/(C40-B40))*D40))</f>
        <v>56.041389102417405</v>
      </c>
    </row>
    <row r="43" spans="1:7">
      <c r="A43">
        <v>1</v>
      </c>
      <c r="B43" s="30">
        <f>CONVERT('Finisher Model - ME Metric'!C15,"kg","lbm")</f>
        <v>50.706320302521839</v>
      </c>
      <c r="C43" s="36">
        <f>CONVERT('Finisher Model - ME Metric'!D15,"kg","lbm")</f>
        <v>90.389527495799797</v>
      </c>
      <c r="D43" s="42">
        <f>IF(C43="","",(E43-E42))</f>
        <v>69.148538890544955</v>
      </c>
      <c r="E43" s="35">
        <f t="shared" ref="E43:E48" si="13">IF(B44="","",((0.00463*B44^2 + 1.68*B44 - 22.05)/(((0.00463*$C$40^2 + 1.68*$C$40 - 22.05)-(0.00463*$B$40^2 + 1.68*$B$40 - 22.05))/($C$40-$B$40))*$D$40))</f>
        <v>125.18992799296235</v>
      </c>
    </row>
    <row r="44" spans="1:7">
      <c r="A44">
        <v>2</v>
      </c>
      <c r="B44" s="30">
        <f t="shared" ref="B44:B46" si="14">C43</f>
        <v>90.389527495799797</v>
      </c>
      <c r="C44" s="36">
        <f>CONVERT(IF('Finisher Model - ME Metric'!E11=2,H19,'Finisher Model - ME Metric'!D16),"kg","lbm")</f>
        <v>130.07273468907778</v>
      </c>
      <c r="D44" s="42">
        <f t="shared" ref="D44:D47" si="15">IF(C44="","",(E44-E43))</f>
        <v>80.03871891957057</v>
      </c>
      <c r="E44" s="35">
        <f t="shared" si="13"/>
        <v>205.22864691253292</v>
      </c>
    </row>
    <row r="45" spans="1:7">
      <c r="A45">
        <v>3</v>
      </c>
      <c r="B45" s="30">
        <f t="shared" si="14"/>
        <v>130.07273468907778</v>
      </c>
      <c r="C45" s="36">
        <f>CONVERT(IF('Finisher Model - ME Metric'!E11=3,H19,'Finisher Model - ME Metric'!D17),"kg","lbm")</f>
        <v>180.77905499159959</v>
      </c>
      <c r="D45" s="42">
        <f t="shared" si="15"/>
        <v>118.11959727280166</v>
      </c>
      <c r="E45" s="35">
        <f t="shared" si="13"/>
        <v>323.34824418533458</v>
      </c>
    </row>
    <row r="46" spans="1:7">
      <c r="A46">
        <v>4</v>
      </c>
      <c r="B46" s="30">
        <f t="shared" si="14"/>
        <v>180.77905499159959</v>
      </c>
      <c r="C46" s="36">
        <f>CONVERT(IF('Finisher Model - ME Metric'!E11=4,H19,'Finisher Model - ME Metric'!D18),"kg","lbm")</f>
        <v>229.28075267227268</v>
      </c>
      <c r="D46" s="42">
        <f>IF(C46="","",(E46-E45))</f>
        <v>129.6217376531115</v>
      </c>
      <c r="E46" s="35">
        <f t="shared" si="13"/>
        <v>452.96998183844607</v>
      </c>
    </row>
    <row r="47" spans="1:7">
      <c r="A47">
        <v>5</v>
      </c>
      <c r="B47" s="30">
        <f>C46</f>
        <v>229.28075267227268</v>
      </c>
      <c r="C47" s="36">
        <f>CONVERT(IF('Finisher Model - ME Metric'!E11=5,H19,'Finisher Model - ME Metric'!D19),"kg","lbm")</f>
        <v>306.47531194932787</v>
      </c>
      <c r="D47" s="42">
        <f t="shared" si="15"/>
        <v>239.85459430673711</v>
      </c>
      <c r="E47" s="35">
        <f t="shared" si="13"/>
        <v>692.82457614518319</v>
      </c>
    </row>
    <row r="48" spans="1:7" ht="16.5" thickBot="1">
      <c r="A48">
        <v>6</v>
      </c>
      <c r="B48" s="37">
        <f>C47</f>
        <v>306.47531194932787</v>
      </c>
      <c r="C48" s="60" t="e">
        <f>CONVERT(IF('Finisher Model - ME Metric'!E11=6,H19,""),"kg","lbm")</f>
        <v>#VALUE!</v>
      </c>
      <c r="D48" s="63" t="e">
        <f>IF(C48="","",(E48-E47))</f>
        <v>#VALUE!</v>
      </c>
      <c r="E48" s="64" t="e">
        <f t="shared" si="13"/>
        <v>#VALUE!</v>
      </c>
    </row>
    <row r="49" spans="2:11">
      <c r="B49" s="23" t="e">
        <f>C48</f>
        <v>#VALUE!</v>
      </c>
    </row>
    <row r="53" spans="2:11" ht="57.75">
      <c r="B53" s="47" t="s">
        <v>77</v>
      </c>
      <c r="C53" s="47" t="s">
        <v>78</v>
      </c>
      <c r="D53" s="294" t="s">
        <v>79</v>
      </c>
      <c r="E53" s="294"/>
      <c r="F53" s="294"/>
      <c r="G53" s="76"/>
      <c r="H53" s="5"/>
      <c r="I53" s="295" t="s">
        <v>80</v>
      </c>
    </row>
    <row r="54" spans="2:11">
      <c r="B54" s="48" t="s">
        <v>81</v>
      </c>
      <c r="C54" s="48" t="s">
        <v>81</v>
      </c>
      <c r="D54" s="48" t="s">
        <v>82</v>
      </c>
      <c r="E54" s="48" t="s">
        <v>83</v>
      </c>
      <c r="F54" s="48" t="s">
        <v>84</v>
      </c>
      <c r="G54" s="48"/>
      <c r="H54" s="48"/>
      <c r="I54" s="296"/>
      <c r="J54" s="48" t="s">
        <v>92</v>
      </c>
      <c r="K54" t="s">
        <v>153</v>
      </c>
    </row>
    <row r="55" spans="2:11">
      <c r="B55" s="47">
        <v>81</v>
      </c>
      <c r="C55" s="49">
        <v>110.17670623134534</v>
      </c>
      <c r="D55" s="6">
        <v>16.864782047899471</v>
      </c>
      <c r="E55" s="6">
        <v>14.510728742835685</v>
      </c>
      <c r="F55" s="49">
        <v>15.687755395367578</v>
      </c>
      <c r="G55" s="49"/>
      <c r="H55" s="50"/>
      <c r="I55" s="51">
        <v>0.73518262408316082</v>
      </c>
      <c r="J55" s="74">
        <f>(I55*$B$28)*100</f>
        <v>72.911523877059508</v>
      </c>
      <c r="K55" s="92">
        <f>J55*$B$32</f>
        <v>72.660049323270556</v>
      </c>
    </row>
    <row r="56" spans="2:11">
      <c r="B56" s="47">
        <v>82</v>
      </c>
      <c r="C56" s="49">
        <v>111.4039519642067</v>
      </c>
      <c r="D56" s="6">
        <v>17.074455706764272</v>
      </c>
      <c r="E56" s="6">
        <v>14.613701440729169</v>
      </c>
      <c r="F56" s="49">
        <v>15.844078573746721</v>
      </c>
      <c r="G56" s="49"/>
      <c r="H56" s="50"/>
      <c r="I56" s="51">
        <v>0.73606006388665657</v>
      </c>
      <c r="J56" s="74">
        <f t="shared" ref="J56:J94" si="16">(I56*$B$28)*100</f>
        <v>72.998543715515353</v>
      </c>
      <c r="K56" s="92">
        <f t="shared" ref="K56:K94" si="17">J56*$B$32</f>
        <v>72.74676902707165</v>
      </c>
    </row>
    <row r="57" spans="2:11">
      <c r="B57" s="47">
        <v>83</v>
      </c>
      <c r="C57" s="49">
        <v>112.6282752396024</v>
      </c>
      <c r="D57" s="6">
        <v>17.284147265806148</v>
      </c>
      <c r="E57" s="6">
        <v>14.71614342750836</v>
      </c>
      <c r="F57" s="49">
        <v>16.000145346657256</v>
      </c>
      <c r="G57" s="49"/>
      <c r="H57" s="50"/>
      <c r="I57" s="51">
        <v>0.73693750369015243</v>
      </c>
      <c r="J57" s="74">
        <f t="shared" si="16"/>
        <v>73.085563553971213</v>
      </c>
      <c r="K57" s="92">
        <f t="shared" si="17"/>
        <v>72.833488730872759</v>
      </c>
    </row>
    <row r="58" spans="2:11">
      <c r="B58" s="47">
        <v>84</v>
      </c>
      <c r="C58" s="49">
        <v>113.84968648405146</v>
      </c>
      <c r="D58" s="6">
        <v>17.493856510850449</v>
      </c>
      <c r="E58" s="6">
        <v>14.81806378371237</v>
      </c>
      <c r="F58" s="49">
        <v>16.155960147281409</v>
      </c>
      <c r="G58" s="49"/>
      <c r="H58" s="50"/>
      <c r="I58" s="51">
        <v>0.73781494349364829</v>
      </c>
      <c r="J58" s="74">
        <f t="shared" si="16"/>
        <v>73.172583392427072</v>
      </c>
      <c r="K58" s="92">
        <f t="shared" si="17"/>
        <v>72.920208434673867</v>
      </c>
    </row>
    <row r="59" spans="2:11">
      <c r="B59" s="47">
        <v>85</v>
      </c>
      <c r="C59" s="49">
        <v>115.06819607453319</v>
      </c>
      <c r="D59" s="6">
        <v>17.703583232804778</v>
      </c>
      <c r="E59" s="6">
        <v>14.919471328516645</v>
      </c>
      <c r="F59" s="49">
        <v>16.311527280660712</v>
      </c>
      <c r="G59" s="49"/>
      <c r="H59" s="50"/>
      <c r="I59" s="51">
        <v>0.73869238329714404</v>
      </c>
      <c r="J59" s="74">
        <f t="shared" si="16"/>
        <v>73.259603230882917</v>
      </c>
      <c r="K59" s="92">
        <f t="shared" si="17"/>
        <v>73.006928138474947</v>
      </c>
    </row>
    <row r="60" spans="2:11">
      <c r="B60" s="47">
        <v>86</v>
      </c>
      <c r="C60" s="49">
        <v>116.28381433878111</v>
      </c>
      <c r="D60" s="6">
        <v>17.913327227479776</v>
      </c>
      <c r="E60" s="6">
        <v>15.020374630235036</v>
      </c>
      <c r="F60" s="49">
        <v>16.466850928857404</v>
      </c>
      <c r="G60" s="49"/>
      <c r="H60" s="49"/>
      <c r="I60" s="51">
        <v>0.7395698231006399</v>
      </c>
      <c r="J60" s="74">
        <f t="shared" si="16"/>
        <v>73.346623069338776</v>
      </c>
      <c r="K60" s="92">
        <f t="shared" si="17"/>
        <v>73.093647842276056</v>
      </c>
    </row>
    <row r="61" spans="2:11">
      <c r="B61" s="47">
        <v>87</v>
      </c>
      <c r="C61" s="49">
        <v>117.49655155557477</v>
      </c>
      <c r="D61" s="6">
        <v>18.123088295418643</v>
      </c>
      <c r="E61" s="6">
        <v>15.120782016283018</v>
      </c>
      <c r="F61" s="49">
        <v>16.621935155850831</v>
      </c>
      <c r="G61" s="49"/>
      <c r="H61" s="49"/>
      <c r="I61" s="51">
        <v>0.74044726290413565</v>
      </c>
      <c r="J61" s="74">
        <f t="shared" si="16"/>
        <v>73.433642907794621</v>
      </c>
      <c r="K61" s="92">
        <f t="shared" si="17"/>
        <v>73.18036754607715</v>
      </c>
    </row>
    <row r="62" spans="2:11">
      <c r="B62" s="47">
        <v>88</v>
      </c>
      <c r="C62" s="49">
        <v>118.70641795502937</v>
      </c>
      <c r="D62" s="6">
        <v>18.332866241734184</v>
      </c>
      <c r="E62" s="6">
        <v>15.220701582635391</v>
      </c>
      <c r="F62" s="49">
        <v>16.776783912184786</v>
      </c>
      <c r="G62" s="49"/>
      <c r="H62" s="49"/>
      <c r="I62" s="51">
        <v>0.74132470270763151</v>
      </c>
      <c r="J62" s="74">
        <f t="shared" si="16"/>
        <v>73.52066274625048</v>
      </c>
      <c r="K62" s="92">
        <f t="shared" si="17"/>
        <v>73.267087249878259</v>
      </c>
    </row>
    <row r="63" spans="2:11">
      <c r="B63" s="47">
        <v>89</v>
      </c>
      <c r="C63" s="49">
        <v>119.91342371888354</v>
      </c>
      <c r="D63" s="6">
        <v>18.542660875953423</v>
      </c>
      <c r="E63" s="6">
        <v>15.320141202809715</v>
      </c>
      <c r="F63" s="49">
        <v>16.931401039381569</v>
      </c>
      <c r="G63" s="49"/>
      <c r="H63" s="49"/>
      <c r="I63" s="51">
        <v>0.74220214251112737</v>
      </c>
      <c r="J63" s="74">
        <f t="shared" si="16"/>
        <v>73.607682584706353</v>
      </c>
      <c r="K63" s="92">
        <f t="shared" si="17"/>
        <v>73.353806953679367</v>
      </c>
    </row>
    <row r="64" spans="2:11">
      <c r="B64" s="5">
        <v>90</v>
      </c>
      <c r="C64" s="49">
        <v>121.11757898078487</v>
      </c>
      <c r="D64" s="6">
        <v>18.752472011869195</v>
      </c>
      <c r="E64" s="6">
        <v>15.419108536404257</v>
      </c>
      <c r="F64" s="49">
        <v>17.085790274136727</v>
      </c>
      <c r="G64" s="49"/>
      <c r="H64" s="6"/>
      <c r="I64" s="51">
        <v>0.74307958231462312</v>
      </c>
      <c r="J64" s="74">
        <f t="shared" si="16"/>
        <v>73.694702423162198</v>
      </c>
      <c r="K64" s="92">
        <f t="shared" si="17"/>
        <v>73.440526657480461</v>
      </c>
    </row>
    <row r="65" spans="2:11">
      <c r="B65" s="5">
        <v>91</v>
      </c>
      <c r="C65" s="49">
        <v>122.31889382657351</v>
      </c>
      <c r="D65" s="6">
        <v>18.962299467398132</v>
      </c>
      <c r="E65" s="6">
        <v>15.517611037217174</v>
      </c>
      <c r="F65" s="49">
        <v>17.239955252307652</v>
      </c>
      <c r="G65" s="49"/>
      <c r="H65" s="6"/>
      <c r="I65" s="51">
        <v>0.74395702211811898</v>
      </c>
      <c r="J65" s="74">
        <f t="shared" si="16"/>
        <v>73.781722261618057</v>
      </c>
      <c r="K65" s="92">
        <f t="shared" si="17"/>
        <v>73.52724636128157</v>
      </c>
    </row>
    <row r="66" spans="2:11">
      <c r="B66" s="5">
        <v>92</v>
      </c>
      <c r="C66" s="49">
        <v>123.51737829456385</v>
      </c>
      <c r="D66" s="6">
        <v>19.172143064445141</v>
      </c>
      <c r="E66" s="6">
        <v>15.615655960971905</v>
      </c>
      <c r="F66" s="49">
        <v>17.393899512708522</v>
      </c>
      <c r="G66" s="49"/>
      <c r="H66" s="6"/>
      <c r="I66" s="51">
        <v>0.74483446192161473</v>
      </c>
      <c r="J66" s="74">
        <f t="shared" si="16"/>
        <v>73.868742100073902</v>
      </c>
      <c r="K66" s="92">
        <f t="shared" si="17"/>
        <v>73.61396606508265</v>
      </c>
    </row>
    <row r="67" spans="2:11">
      <c r="B67" s="5">
        <v>93</v>
      </c>
      <c r="C67" s="49">
        <v>124.71304237582397</v>
      </c>
      <c r="D67" s="6">
        <v>19.382002628773577</v>
      </c>
      <c r="E67" s="6">
        <v>15.713250372671933</v>
      </c>
      <c r="F67" s="49">
        <v>17.547626500722757</v>
      </c>
      <c r="G67" s="49"/>
      <c r="H67" s="6"/>
      <c r="I67" s="51">
        <v>0.74571190172511059</v>
      </c>
      <c r="J67" s="74">
        <f t="shared" si="16"/>
        <v>73.955761938529747</v>
      </c>
      <c r="K67" s="92">
        <f t="shared" si="17"/>
        <v>73.700685768883744</v>
      </c>
    </row>
    <row r="68" spans="2:11">
      <c r="B68" s="5">
        <v>94</v>
      </c>
      <c r="C68" s="49">
        <v>125.90589601445348</v>
      </c>
      <c r="D68" s="6">
        <v>19.591877989881006</v>
      </c>
      <c r="E68" s="6">
        <v>15.81040115360647</v>
      </c>
      <c r="F68" s="49">
        <v>17.701139571743738</v>
      </c>
      <c r="G68" s="49"/>
      <c r="H68" s="6"/>
      <c r="I68" s="51">
        <v>0.74658934152860634</v>
      </c>
      <c r="J68" s="74">
        <f t="shared" si="16"/>
        <v>74.042781776985606</v>
      </c>
      <c r="K68" s="92">
        <f t="shared" si="17"/>
        <v>73.787405472684853</v>
      </c>
    </row>
    <row r="69" spans="2:11">
      <c r="B69" s="5">
        <v>95</v>
      </c>
      <c r="C69" s="49">
        <v>127.09594910785896</v>
      </c>
      <c r="D69" s="6">
        <v>19.80176898088045</v>
      </c>
      <c r="E69" s="6">
        <v>15.907115008027194</v>
      </c>
      <c r="F69" s="49">
        <v>17.854441994453822</v>
      </c>
      <c r="G69" s="49"/>
      <c r="H69" s="6"/>
      <c r="I69" s="51">
        <v>0.7474667813321022</v>
      </c>
      <c r="J69" s="74">
        <f t="shared" si="16"/>
        <v>74.129801615441465</v>
      </c>
      <c r="K69" s="92">
        <f t="shared" si="17"/>
        <v>73.874125176485961</v>
      </c>
    </row>
    <row r="70" spans="2:11">
      <c r="B70" s="5">
        <v>96</v>
      </c>
      <c r="C70" s="49">
        <v>128.28321150702794</v>
      </c>
      <c r="D70" s="6">
        <v>20.011675438386312</v>
      </c>
      <c r="E70" s="6">
        <v>16.003398469514622</v>
      </c>
      <c r="F70" s="49">
        <v>18.007536953950467</v>
      </c>
      <c r="G70" s="49"/>
      <c r="H70" s="6"/>
      <c r="I70" s="51">
        <v>0.74834422113559795</v>
      </c>
      <c r="J70" s="74">
        <f t="shared" si="16"/>
        <v>74.21682145389731</v>
      </c>
      <c r="K70" s="92">
        <f t="shared" si="17"/>
        <v>73.960844880287041</v>
      </c>
    </row>
    <row r="71" spans="2:11">
      <c r="B71" s="5">
        <v>97</v>
      </c>
      <c r="C71" s="49">
        <v>129.46769301680052</v>
      </c>
      <c r="D71" s="6">
        <v>20.221597202405267</v>
      </c>
      <c r="E71" s="6">
        <v>16.099257907051943</v>
      </c>
      <c r="F71" s="49">
        <v>18.160427554728606</v>
      </c>
      <c r="G71" s="49"/>
      <c r="H71" s="6"/>
      <c r="I71" s="51">
        <v>0.74922166093909381</v>
      </c>
      <c r="J71" s="74">
        <f t="shared" si="16"/>
        <v>74.303841292353169</v>
      </c>
      <c r="K71" s="92">
        <f t="shared" si="17"/>
        <v>74.04756458408815</v>
      </c>
    </row>
    <row r="72" spans="2:11">
      <c r="B72" s="5">
        <v>98</v>
      </c>
      <c r="C72" s="49">
        <v>130.64940339613941</v>
      </c>
      <c r="D72" s="6">
        <v>20.43153411623155</v>
      </c>
      <c r="E72" s="6">
        <v>16.194699530822238</v>
      </c>
      <c r="F72" s="49">
        <v>18.313116823526894</v>
      </c>
      <c r="G72" s="49"/>
      <c r="H72" s="6"/>
      <c r="I72" s="51">
        <v>0.75009910074258968</v>
      </c>
      <c r="J72" s="74">
        <f t="shared" si="16"/>
        <v>74.390861130809029</v>
      </c>
      <c r="K72" s="92">
        <f t="shared" si="17"/>
        <v>74.134284287889258</v>
      </c>
    </row>
    <row r="73" spans="2:11">
      <c r="B73" s="5">
        <v>99</v>
      </c>
      <c r="C73" s="49">
        <v>131.82835235839786</v>
      </c>
      <c r="D73" s="6">
        <v>20.641486026346577</v>
      </c>
      <c r="E73" s="6">
        <v>16.289729397744711</v>
      </c>
      <c r="F73" s="49">
        <v>18.465607712045646</v>
      </c>
      <c r="G73" s="49"/>
      <c r="H73" s="6"/>
      <c r="I73" s="51">
        <v>0.75097654054608542</v>
      </c>
      <c r="J73" s="74">
        <f t="shared" si="16"/>
        <v>74.477880969264874</v>
      </c>
      <c r="K73" s="92">
        <f t="shared" si="17"/>
        <v>74.221003991690338</v>
      </c>
    </row>
    <row r="74" spans="2:11">
      <c r="B74" s="5">
        <v>100</v>
      </c>
      <c r="C74" s="49">
        <v>133.00454957158581</v>
      </c>
      <c r="D74" s="6">
        <v>20.851452782322603</v>
      </c>
      <c r="E74" s="6">
        <v>16.384353416763961</v>
      </c>
      <c r="F74" s="49">
        <v>18.617903099543284</v>
      </c>
      <c r="G74" s="49"/>
      <c r="H74" s="6"/>
      <c r="I74" s="51">
        <v>0.75185398034958129</v>
      </c>
      <c r="J74" s="74">
        <f t="shared" si="16"/>
        <v>74.564900807720733</v>
      </c>
      <c r="K74" s="92">
        <f t="shared" si="17"/>
        <v>74.307723695491447</v>
      </c>
    </row>
    <row r="75" spans="2:11">
      <c r="B75" s="5">
        <v>101</v>
      </c>
      <c r="C75" s="49">
        <v>134.17800465863434</v>
      </c>
      <c r="D75" s="6">
        <v>21.061434236730111</v>
      </c>
      <c r="E75" s="6">
        <v>16.478577353905742</v>
      </c>
      <c r="F75" s="49">
        <v>18.770005795317928</v>
      </c>
      <c r="G75" s="49"/>
      <c r="H75" s="6"/>
      <c r="I75" s="51">
        <v>0.75273142015307704</v>
      </c>
      <c r="J75" s="74">
        <f t="shared" si="16"/>
        <v>74.651920646176578</v>
      </c>
      <c r="K75" s="92">
        <f t="shared" si="17"/>
        <v>74.394443399292541</v>
      </c>
    </row>
    <row r="76" spans="2:11">
      <c r="B76" s="5">
        <v>102</v>
      </c>
      <c r="C76" s="49">
        <v>135.34872719765769</v>
      </c>
      <c r="D76" s="6">
        <v>21.27143024504899</v>
      </c>
      <c r="E76" s="6">
        <v>16.572406837111849</v>
      </c>
      <c r="F76" s="49">
        <v>18.921918541080419</v>
      </c>
      <c r="G76" s="49"/>
      <c r="H76" s="6"/>
      <c r="I76" s="51">
        <v>0.7536088599565729</v>
      </c>
      <c r="J76" s="74">
        <f t="shared" si="16"/>
        <v>74.738940484632437</v>
      </c>
      <c r="K76" s="92">
        <f t="shared" si="17"/>
        <v>74.48116310309365</v>
      </c>
    </row>
    <row r="77" spans="2:11">
      <c r="B77" s="5">
        <v>103</v>
      </c>
      <c r="C77" s="49">
        <v>136.51672672221434</v>
      </c>
      <c r="D77" s="6">
        <v>21.481440665583278</v>
      </c>
      <c r="E77" s="6">
        <v>16.665847360865602</v>
      </c>
      <c r="F77" s="49">
        <v>19.073644013224438</v>
      </c>
      <c r="G77" s="49"/>
      <c r="H77" s="6"/>
      <c r="I77" s="51">
        <v>0.75448629976006876</v>
      </c>
      <c r="J77" s="74">
        <f t="shared" si="16"/>
        <v>74.82596032308831</v>
      </c>
      <c r="K77" s="92">
        <f t="shared" si="17"/>
        <v>74.567882806894758</v>
      </c>
    </row>
    <row r="78" spans="2:11">
      <c r="B78" s="5">
        <v>104</v>
      </c>
      <c r="C78" s="49">
        <v>137.68201272156554</v>
      </c>
      <c r="D78" s="6">
        <v>21.69146535937886</v>
      </c>
      <c r="E78" s="6">
        <v>16.758904290619089</v>
      </c>
      <c r="F78" s="49">
        <v>19.225184824998976</v>
      </c>
      <c r="G78" s="49"/>
      <c r="H78" s="6"/>
      <c r="I78" s="51">
        <v>0.75536373956356451</v>
      </c>
      <c r="J78" s="74">
        <f t="shared" si="16"/>
        <v>74.912980161544141</v>
      </c>
      <c r="K78" s="92">
        <f t="shared" si="17"/>
        <v>74.654602510695838</v>
      </c>
    </row>
    <row r="79" spans="2:11">
      <c r="B79" s="5">
        <v>105</v>
      </c>
      <c r="C79" s="49">
        <v>138.84459464093223</v>
      </c>
      <c r="D79" s="6">
        <v>21.901504190144763</v>
      </c>
      <c r="E79" s="6">
        <v>16.851582867032572</v>
      </c>
      <c r="F79" s="49">
        <v>19.37654352858867</v>
      </c>
      <c r="G79" s="49"/>
      <c r="H79" s="6"/>
      <c r="I79" s="51">
        <v>0.75624117936706026</v>
      </c>
      <c r="J79" s="74">
        <f t="shared" si="16"/>
        <v>74.999999999999986</v>
      </c>
      <c r="K79" s="92">
        <f t="shared" si="17"/>
        <v>74.741322214496932</v>
      </c>
    </row>
    <row r="80" spans="2:11">
      <c r="B80" s="5">
        <v>106</v>
      </c>
      <c r="C80" s="49">
        <v>140.00448188175039</v>
      </c>
      <c r="D80" s="6">
        <v>22.111557024177106</v>
      </c>
      <c r="E80" s="6">
        <v>16.943888210035503</v>
      </c>
      <c r="F80" s="49">
        <v>19.527722617106306</v>
      </c>
      <c r="G80" s="49"/>
      <c r="H80" s="6"/>
      <c r="I80" s="51">
        <v>0.75711861917055612</v>
      </c>
      <c r="J80" s="74">
        <f t="shared" si="16"/>
        <v>75.087019838455845</v>
      </c>
      <c r="K80" s="92">
        <f t="shared" si="17"/>
        <v>74.828041918298041</v>
      </c>
    </row>
    <row r="81" spans="2:11">
      <c r="B81" s="5">
        <v>107</v>
      </c>
      <c r="C81" s="49">
        <v>141.16168380192445</v>
      </c>
      <c r="D81" s="6">
        <v>22.321623730286092</v>
      </c>
      <c r="E81" s="6">
        <v>17.035825322718448</v>
      </c>
      <c r="F81" s="49">
        <v>19.678724526502272</v>
      </c>
      <c r="G81" s="49"/>
      <c r="H81" s="6"/>
      <c r="I81" s="51">
        <v>0.75799605897405198</v>
      </c>
      <c r="J81" s="74">
        <f t="shared" si="16"/>
        <v>75.174039676911704</v>
      </c>
      <c r="K81" s="92">
        <f t="shared" si="17"/>
        <v>74.914761622099135</v>
      </c>
    </row>
    <row r="82" spans="2:11">
      <c r="B82" s="5">
        <v>108</v>
      </c>
      <c r="C82" s="49">
        <v>142.31620971607887</v>
      </c>
      <c r="D82" s="6">
        <v>22.531704179725708</v>
      </c>
      <c r="E82" s="6">
        <v>17.127399095064437</v>
      </c>
      <c r="F82" s="49">
        <v>19.82955163739507</v>
      </c>
      <c r="G82" s="49"/>
      <c r="H82" s="6"/>
      <c r="I82" s="51">
        <v>0.75887349877754773</v>
      </c>
      <c r="J82" s="74">
        <f t="shared" si="16"/>
        <v>75.261059515367563</v>
      </c>
      <c r="K82" s="92">
        <f t="shared" si="17"/>
        <v>75.001481325900244</v>
      </c>
    </row>
    <row r="83" spans="2:11">
      <c r="B83" s="5">
        <v>109</v>
      </c>
      <c r="C83" s="49">
        <v>143.46806889580807</v>
      </c>
      <c r="D83" s="6">
        <v>22.741798246125917</v>
      </c>
      <c r="E83" s="6">
        <v>17.218614307527691</v>
      </c>
      <c r="F83" s="49">
        <v>19.980206276826806</v>
      </c>
      <c r="G83" s="49"/>
      <c r="H83" s="6"/>
      <c r="I83" s="51">
        <v>0.75975093858104359</v>
      </c>
      <c r="J83" s="74">
        <f t="shared" si="16"/>
        <v>75.348079353823422</v>
      </c>
      <c r="K83" s="92">
        <f t="shared" si="17"/>
        <v>75.088201029701352</v>
      </c>
    </row>
    <row r="84" spans="2:11">
      <c r="B84" s="5">
        <v>110</v>
      </c>
      <c r="C84" s="49">
        <v>144.61727056992473</v>
      </c>
      <c r="D84" s="6">
        <v>22.951905805427518</v>
      </c>
      <c r="E84" s="6">
        <v>17.309475634467464</v>
      </c>
      <c r="F84" s="49">
        <v>20.130690719947491</v>
      </c>
      <c r="G84" s="49"/>
      <c r="H84" s="6"/>
      <c r="I84" s="51">
        <v>0.76062837838453934</v>
      </c>
      <c r="J84" s="74">
        <f t="shared" si="16"/>
        <v>75.435099192279267</v>
      </c>
      <c r="K84" s="92">
        <f t="shared" si="17"/>
        <v>75.174920733502432</v>
      </c>
    </row>
    <row r="85" spans="2:11">
      <c r="B85" s="5">
        <v>111</v>
      </c>
      <c r="C85" s="49">
        <v>145.76382392470609</v>
      </c>
      <c r="D85" s="6">
        <v>23.162026735819119</v>
      </c>
      <c r="E85" s="6">
        <v>17.399987647444007</v>
      </c>
      <c r="F85" s="49">
        <v>20.281007191631563</v>
      </c>
      <c r="G85" s="49"/>
      <c r="H85" s="6"/>
      <c r="I85" s="51">
        <v>0.7615058181880352</v>
      </c>
      <c r="J85" s="74">
        <f t="shared" si="16"/>
        <v>75.522119030735126</v>
      </c>
      <c r="K85" s="92">
        <f t="shared" si="17"/>
        <v>75.261640437303541</v>
      </c>
    </row>
    <row r="86" spans="2:11">
      <c r="B86" s="5">
        <v>112</v>
      </c>
      <c r="C86" s="49">
        <v>146.9077381041389</v>
      </c>
      <c r="D86" s="6">
        <v>23.372160917676677</v>
      </c>
      <c r="E86" s="6">
        <v>17.49015481838342</v>
      </c>
      <c r="F86" s="49">
        <v>20.431157868030049</v>
      </c>
      <c r="G86" s="49"/>
      <c r="H86" s="6"/>
      <c r="I86" s="51">
        <v>0.76238325799153106</v>
      </c>
      <c r="J86" s="74">
        <f t="shared" si="16"/>
        <v>75.609138869190986</v>
      </c>
      <c r="K86" s="92">
        <f t="shared" si="17"/>
        <v>75.348360141104649</v>
      </c>
    </row>
    <row r="87" spans="2:11">
      <c r="B87" s="5">
        <v>113</v>
      </c>
      <c r="C87" s="49">
        <v>148.04902221016243</v>
      </c>
      <c r="D87" s="6">
        <v>23.582308233504943</v>
      </c>
      <c r="E87" s="6">
        <v>17.579981522617746</v>
      </c>
      <c r="F87" s="49">
        <v>20.581144878061345</v>
      </c>
      <c r="G87" s="49"/>
      <c r="H87" s="6"/>
      <c r="I87" s="51">
        <v>0.76326069779502681</v>
      </c>
      <c r="J87" s="74">
        <f t="shared" si="16"/>
        <v>75.696158707646831</v>
      </c>
      <c r="K87" s="92">
        <f t="shared" si="17"/>
        <v>75.435079844905744</v>
      </c>
    </row>
    <row r="88" spans="2:11">
      <c r="B88" s="5">
        <v>114</v>
      </c>
      <c r="C88" s="49">
        <v>149.18768530290981</v>
      </c>
      <c r="D88" s="6">
        <v>23.792468567881055</v>
      </c>
      <c r="E88" s="6">
        <v>17.66947204180623</v>
      </c>
      <c r="F88" s="49">
        <v>20.730970304843645</v>
      </c>
      <c r="G88" s="49"/>
      <c r="H88" s="6"/>
      <c r="I88" s="51">
        <v>0.76413813759852267</v>
      </c>
      <c r="J88" s="74">
        <f t="shared" si="16"/>
        <v>75.78317854610269</v>
      </c>
      <c r="K88" s="92">
        <f t="shared" si="17"/>
        <v>75.521799548706838</v>
      </c>
    </row>
    <row r="89" spans="2:11">
      <c r="B89" s="5">
        <v>115</v>
      </c>
      <c r="C89" s="49">
        <v>150.32373640094792</v>
      </c>
      <c r="D89" s="6">
        <v>24.002641807400256</v>
      </c>
      <c r="E89" s="6">
        <v>17.758630566743491</v>
      </c>
      <c r="F89" s="49">
        <v>20.880636187071872</v>
      </c>
      <c r="G89" s="49"/>
      <c r="H89" s="6"/>
      <c r="I89" s="51">
        <v>0.76501557740201842</v>
      </c>
      <c r="J89" s="74">
        <f t="shared" si="16"/>
        <v>75.870198384558535</v>
      </c>
      <c r="K89" s="92">
        <f t="shared" si="17"/>
        <v>75.608519252507932</v>
      </c>
    </row>
    <row r="90" spans="2:11">
      <c r="B90" s="5">
        <v>116</v>
      </c>
      <c r="C90" s="49">
        <v>151.45718448151536</v>
      </c>
      <c r="D90" s="6">
        <v>24.212827840623181</v>
      </c>
      <c r="E90" s="6">
        <v>17.847461200059801</v>
      </c>
      <c r="F90" s="49">
        <v>21.030144520341491</v>
      </c>
      <c r="G90" s="49"/>
      <c r="H90" s="6"/>
      <c r="I90" s="51">
        <v>0.76589301720551428</v>
      </c>
      <c r="J90" s="74">
        <f t="shared" si="16"/>
        <v>75.957218223014394</v>
      </c>
      <c r="K90" s="92">
        <f t="shared" si="17"/>
        <v>75.695238956309041</v>
      </c>
    </row>
    <row r="91" spans="2:11">
      <c r="B91" s="5">
        <v>117</v>
      </c>
      <c r="C91" s="49">
        <v>152.58803848075902</v>
      </c>
      <c r="D91" s="6">
        <v>24.423026558025349</v>
      </c>
      <c r="E91" s="6">
        <v>17.935967958818601</v>
      </c>
      <c r="F91" s="49">
        <v>21.179497258421975</v>
      </c>
      <c r="G91" s="49"/>
      <c r="H91" s="6"/>
      <c r="I91" s="51">
        <v>0.76677045700901003</v>
      </c>
      <c r="J91" s="74">
        <f t="shared" si="16"/>
        <v>76.044238061470239</v>
      </c>
      <c r="K91" s="92">
        <f t="shared" si="17"/>
        <v>75.781958660110121</v>
      </c>
    </row>
    <row r="92" spans="2:11">
      <c r="B92" s="5">
        <v>118</v>
      </c>
      <c r="C92" s="49">
        <v>153.71630729396878</v>
      </c>
      <c r="D92" s="6">
        <v>24.633237851947925</v>
      </c>
      <c r="E92" s="6">
        <v>18.024154777015983</v>
      </c>
      <c r="F92" s="49">
        <v>21.328696314481952</v>
      </c>
      <c r="G92" s="49"/>
      <c r="H92" s="6"/>
      <c r="I92" s="51">
        <v>0.76764789681250589</v>
      </c>
      <c r="J92" s="74">
        <f t="shared" si="16"/>
        <v>76.131257899926098</v>
      </c>
      <c r="K92" s="92">
        <f t="shared" si="17"/>
        <v>75.868678363911229</v>
      </c>
    </row>
    <row r="93" spans="2:11">
      <c r="B93" s="5">
        <v>119</v>
      </c>
      <c r="C93" s="49">
        <v>154.84199977581099</v>
      </c>
      <c r="D93" s="6">
        <v>24.843461616550663</v>
      </c>
      <c r="E93" s="6">
        <v>18.112025507986587</v>
      </c>
      <c r="F93" s="49">
        <v>21.477743562268625</v>
      </c>
      <c r="G93" s="49"/>
      <c r="H93" s="6"/>
      <c r="I93" s="51">
        <v>0.76852533661600164</v>
      </c>
      <c r="J93" s="74">
        <f t="shared" si="16"/>
        <v>76.218277738381943</v>
      </c>
      <c r="K93" s="92">
        <f t="shared" si="17"/>
        <v>75.955398067712323</v>
      </c>
    </row>
    <row r="94" spans="2:11">
      <c r="B94" s="5">
        <v>120</v>
      </c>
      <c r="C94" s="49">
        <v>155.96512474055984</v>
      </c>
      <c r="D94" s="6">
        <v>25.053697747765945</v>
      </c>
      <c r="E94" s="6">
        <v>18.199583926720305</v>
      </c>
      <c r="F94" s="49">
        <v>21.626640837243123</v>
      </c>
      <c r="G94" s="49"/>
      <c r="H94" s="6"/>
      <c r="I94" s="51">
        <v>0.7694027764194975</v>
      </c>
      <c r="J94" s="74">
        <f t="shared" si="16"/>
        <v>76.305297576837802</v>
      </c>
      <c r="K94" s="92">
        <f t="shared" si="17"/>
        <v>76.042117771513432</v>
      </c>
    </row>
  </sheetData>
  <mergeCells count="8">
    <mergeCell ref="D53:F53"/>
    <mergeCell ref="I53:I54"/>
    <mergeCell ref="A1:O1"/>
    <mergeCell ref="A2:A4"/>
    <mergeCell ref="B2:G3"/>
    <mergeCell ref="J2:K3"/>
    <mergeCell ref="B37:E37"/>
    <mergeCell ref="B38:E3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8E200-F13A-954F-98AF-82194EAF9E21}">
  <sheetPr codeName="Sheet2">
    <tabColor rgb="FF7030A0"/>
  </sheetPr>
  <dimension ref="A2:L27"/>
  <sheetViews>
    <sheetView zoomScale="125" workbookViewId="0">
      <selection activeCell="J5" sqref="J5:J8"/>
    </sheetView>
  </sheetViews>
  <sheetFormatPr defaultColWidth="10.625" defaultRowHeight="15.75"/>
  <cols>
    <col min="1" max="3" width="11" bestFit="1" customWidth="1"/>
    <col min="4" max="5" width="13.625" bestFit="1" customWidth="1"/>
    <col min="6" max="7" width="12.5" bestFit="1" customWidth="1"/>
    <col min="8" max="8" width="12.5" customWidth="1"/>
    <col min="9" max="9" width="13.625" customWidth="1"/>
    <col min="10" max="10" width="14.625" bestFit="1" customWidth="1"/>
    <col min="11" max="11" width="14.5" bestFit="1" customWidth="1"/>
    <col min="12" max="12" width="13.125" bestFit="1" customWidth="1"/>
  </cols>
  <sheetData>
    <row r="2" spans="1:12">
      <c r="D2" t="s">
        <v>86</v>
      </c>
    </row>
    <row r="3" spans="1:12">
      <c r="A3" s="5" t="s">
        <v>67</v>
      </c>
      <c r="B3" s="5" t="s">
        <v>68</v>
      </c>
      <c r="C3" s="5" t="s">
        <v>69</v>
      </c>
      <c r="D3" s="5" t="s">
        <v>168</v>
      </c>
      <c r="E3" s="5" t="s">
        <v>167</v>
      </c>
      <c r="F3" s="5" t="s">
        <v>70</v>
      </c>
      <c r="G3" s="5" t="s">
        <v>71</v>
      </c>
      <c r="H3" s="5" t="s">
        <v>85</v>
      </c>
      <c r="I3" s="5" t="s">
        <v>87</v>
      </c>
      <c r="J3" s="5" t="s">
        <v>165</v>
      </c>
      <c r="K3" s="5" t="s">
        <v>169</v>
      </c>
      <c r="L3" s="5" t="s">
        <v>166</v>
      </c>
    </row>
    <row r="4" spans="1:12">
      <c r="A4" s="6">
        <v>11.33980925</v>
      </c>
      <c r="B4" s="6">
        <v>24.176473321000003</v>
      </c>
      <c r="C4" s="7">
        <v>17.758141285500002</v>
      </c>
      <c r="D4" s="3">
        <v>2410</v>
      </c>
      <c r="E4" s="5">
        <v>1093</v>
      </c>
      <c r="F4" s="7">
        <v>0.43</v>
      </c>
      <c r="G4" s="7">
        <f>(F4/D4)*10000</f>
        <v>1.7842323651452281</v>
      </c>
      <c r="H4" s="7">
        <v>0.69</v>
      </c>
      <c r="I4">
        <f>(H4/D4)*10000</f>
        <v>2.8630705394190867</v>
      </c>
      <c r="J4" s="3">
        <v>3265</v>
      </c>
      <c r="K4" s="3">
        <v>1481</v>
      </c>
      <c r="L4" s="94">
        <f>(F4/J4)*10000</f>
        <v>1.3169984686064318</v>
      </c>
    </row>
    <row r="5" spans="1:12">
      <c r="A5" s="6">
        <v>24.176473321000003</v>
      </c>
      <c r="B5" s="6">
        <v>49.078694434000006</v>
      </c>
      <c r="C5" s="7">
        <v>36.627583877500001</v>
      </c>
      <c r="D5" s="3">
        <v>2429</v>
      </c>
      <c r="E5" s="3">
        <v>1101.6580186568638</v>
      </c>
      <c r="F5" s="7">
        <v>0.38</v>
      </c>
      <c r="G5" s="7">
        <f>(F5/D5)*10000</f>
        <v>1.5644298065047344</v>
      </c>
      <c r="H5" s="5">
        <v>0.64</v>
      </c>
      <c r="I5">
        <f>(H5/D5)*10000</f>
        <v>2.6348291477974475</v>
      </c>
      <c r="J5" s="3">
        <v>3285</v>
      </c>
      <c r="K5" s="3">
        <v>1489.6730937961286</v>
      </c>
      <c r="L5" s="94">
        <f t="shared" ref="L5:L8" si="0">(F5/J5)*10000</f>
        <v>1.1567732115677321</v>
      </c>
    </row>
    <row r="6" spans="1:12">
      <c r="A6" s="6">
        <v>49.078694434000006</v>
      </c>
      <c r="B6" s="6">
        <v>77.337499085000005</v>
      </c>
      <c r="C6" s="7">
        <v>63.208096759499995</v>
      </c>
      <c r="D6" s="3">
        <v>2496</v>
      </c>
      <c r="E6" s="3">
        <v>1131.5498008628074</v>
      </c>
      <c r="F6" s="7">
        <v>0.33</v>
      </c>
      <c r="G6" s="7">
        <f>(F6/D6)*10000</f>
        <v>1.3221153846153846</v>
      </c>
      <c r="H6" s="5">
        <v>0.56000000000000005</v>
      </c>
      <c r="I6">
        <f>(H6/D6)*10000</f>
        <v>2.2435897435897441</v>
      </c>
      <c r="J6" s="3">
        <v>3300</v>
      </c>
      <c r="K6" s="3">
        <v>1496.7264061682447</v>
      </c>
      <c r="L6" s="94">
        <f t="shared" si="0"/>
        <v>1</v>
      </c>
    </row>
    <row r="7" spans="1:12">
      <c r="A7" s="6">
        <v>75.523129605000008</v>
      </c>
      <c r="B7" s="6">
        <v>89.72057078600001</v>
      </c>
      <c r="C7" s="7">
        <v>82.621850195500016</v>
      </c>
      <c r="D7" s="3">
        <v>2538</v>
      </c>
      <c r="E7" s="3">
        <v>1150.2546741567794</v>
      </c>
      <c r="F7" s="7">
        <v>0.28999999999999998</v>
      </c>
      <c r="G7" s="7">
        <f>(F7/D7)*10000</f>
        <v>1.1426319936958234</v>
      </c>
      <c r="H7" s="5">
        <v>0.51</v>
      </c>
      <c r="I7">
        <f>(H7/D7)*10000</f>
        <v>2.0094562647754137</v>
      </c>
      <c r="J7" s="3">
        <v>3300</v>
      </c>
      <c r="K7" s="3">
        <v>1496.7264061682447</v>
      </c>
      <c r="L7" s="94">
        <f t="shared" si="0"/>
        <v>0.87878787878787878</v>
      </c>
    </row>
    <row r="8" spans="1:12">
      <c r="A8" s="6">
        <v>89.72057078600001</v>
      </c>
      <c r="B8" s="6">
        <v>130.40780637500001</v>
      </c>
      <c r="C8" s="7">
        <v>110.0641885805</v>
      </c>
      <c r="D8" s="3">
        <v>2544</v>
      </c>
      <c r="E8" s="3">
        <v>1153.6643178551378</v>
      </c>
      <c r="F8" s="7">
        <v>0.26</v>
      </c>
      <c r="G8" s="7">
        <f>(F8/D8)*10000</f>
        <v>1.0220125786163523</v>
      </c>
      <c r="H8" s="5">
        <v>0.47</v>
      </c>
      <c r="I8">
        <f>(H8/D8)*10000</f>
        <v>1.8474842767295596</v>
      </c>
      <c r="J8" s="3">
        <v>3309</v>
      </c>
      <c r="K8" s="3">
        <v>1501.2897715571009</v>
      </c>
      <c r="L8" s="94">
        <f t="shared" si="0"/>
        <v>0.78573587186461169</v>
      </c>
    </row>
    <row r="27" spans="5:5" ht="18.75">
      <c r="E27" s="27"/>
    </row>
  </sheetData>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64B65-4D14-B542-B411-7A0615E1160D}">
  <sheetPr codeName="Sheet3">
    <tabColor rgb="FF7030A0"/>
  </sheetPr>
  <dimension ref="A2:O55"/>
  <sheetViews>
    <sheetView workbookViewId="0">
      <selection activeCell="Q40" sqref="Q40"/>
    </sheetView>
  </sheetViews>
  <sheetFormatPr defaultColWidth="10.625" defaultRowHeight="15.75"/>
  <cols>
    <col min="1" max="1" width="36.5" bestFit="1" customWidth="1"/>
    <col min="3" max="3" width="13.5" bestFit="1" customWidth="1"/>
    <col min="4" max="4" width="17.5" bestFit="1" customWidth="1"/>
    <col min="6" max="6" width="13" bestFit="1" customWidth="1"/>
  </cols>
  <sheetData>
    <row r="2" spans="1:15">
      <c r="A2" t="s">
        <v>100</v>
      </c>
    </row>
    <row r="3" spans="1:15">
      <c r="B3" s="246" t="s">
        <v>101</v>
      </c>
      <c r="C3" s="246"/>
      <c r="D3" s="246"/>
      <c r="E3" s="246"/>
      <c r="F3" s="246"/>
      <c r="G3" s="246"/>
      <c r="H3" s="246"/>
      <c r="I3" s="246"/>
      <c r="J3" s="246"/>
      <c r="K3" s="246"/>
      <c r="L3" s="246"/>
      <c r="M3" s="246"/>
      <c r="N3" s="246"/>
      <c r="O3" s="246"/>
    </row>
    <row r="4" spans="1:15">
      <c r="A4" s="2" t="s">
        <v>102</v>
      </c>
      <c r="B4" s="5">
        <v>5</v>
      </c>
      <c r="C4" s="5">
        <v>7</v>
      </c>
      <c r="D4" s="5">
        <v>7</v>
      </c>
      <c r="E4" s="5">
        <v>11</v>
      </c>
      <c r="F4" s="5">
        <v>11</v>
      </c>
      <c r="G4" s="5">
        <v>25</v>
      </c>
      <c r="H4" s="5">
        <v>25</v>
      </c>
      <c r="I4" s="5">
        <v>50</v>
      </c>
      <c r="J4" s="5">
        <v>50</v>
      </c>
      <c r="K4" s="5">
        <v>75</v>
      </c>
      <c r="L4" s="5">
        <v>75</v>
      </c>
      <c r="M4" s="5">
        <v>100</v>
      </c>
      <c r="N4" s="5">
        <v>100</v>
      </c>
      <c r="O4" s="5">
        <v>135</v>
      </c>
    </row>
    <row r="5" spans="1:15">
      <c r="A5" s="2" t="s">
        <v>103</v>
      </c>
      <c r="B5" s="247">
        <v>6</v>
      </c>
      <c r="C5" s="247"/>
      <c r="D5" s="247">
        <v>9</v>
      </c>
      <c r="E5" s="247"/>
      <c r="F5" s="247">
        <v>18</v>
      </c>
      <c r="G5" s="247"/>
      <c r="H5" s="247">
        <v>37.5</v>
      </c>
      <c r="I5" s="247"/>
      <c r="J5" s="247">
        <v>62.5</v>
      </c>
      <c r="K5" s="247"/>
      <c r="L5" s="247">
        <v>87.5</v>
      </c>
      <c r="M5" s="247"/>
      <c r="N5" s="247">
        <v>117.5</v>
      </c>
      <c r="O5" s="247"/>
    </row>
    <row r="6" spans="1:15">
      <c r="A6" s="2" t="s">
        <v>104</v>
      </c>
      <c r="B6" s="247">
        <v>0.45</v>
      </c>
      <c r="C6" s="247"/>
      <c r="D6" s="247">
        <v>0.4</v>
      </c>
      <c r="E6" s="247"/>
      <c r="F6" s="247">
        <v>0.33</v>
      </c>
      <c r="G6" s="247"/>
      <c r="H6" s="247">
        <v>0.31</v>
      </c>
      <c r="I6" s="247"/>
      <c r="J6" s="247">
        <v>0.27</v>
      </c>
      <c r="K6" s="247"/>
      <c r="L6" s="247">
        <v>0.24</v>
      </c>
      <c r="M6" s="247"/>
      <c r="N6" s="247">
        <v>0.21</v>
      </c>
      <c r="O6" s="247"/>
    </row>
    <row r="8" spans="1:15">
      <c r="A8" s="2" t="s">
        <v>105</v>
      </c>
    </row>
    <row r="9" spans="1:15">
      <c r="K9" s="10"/>
      <c r="L9" s="10"/>
    </row>
    <row r="10" spans="1:15">
      <c r="A10" s="2" t="s">
        <v>106</v>
      </c>
      <c r="B10" s="8" t="s">
        <v>107</v>
      </c>
      <c r="C10" s="8" t="s">
        <v>108</v>
      </c>
      <c r="D10" s="8" t="s">
        <v>104</v>
      </c>
      <c r="I10" s="10"/>
      <c r="J10" s="10"/>
    </row>
    <row r="11" spans="1:15">
      <c r="A11" t="s">
        <v>109</v>
      </c>
      <c r="B11" s="7">
        <v>6</v>
      </c>
      <c r="C11" s="6">
        <v>36</v>
      </c>
      <c r="D11" s="7">
        <v>0.45</v>
      </c>
      <c r="I11" s="10"/>
      <c r="J11" s="10"/>
    </row>
    <row r="12" spans="1:15">
      <c r="B12" s="7">
        <v>9</v>
      </c>
      <c r="C12" s="6">
        <v>81</v>
      </c>
      <c r="D12" s="7">
        <v>0.4</v>
      </c>
      <c r="I12" s="10"/>
      <c r="J12" s="10"/>
    </row>
    <row r="13" spans="1:15">
      <c r="A13" t="s">
        <v>110</v>
      </c>
      <c r="B13" s="7">
        <v>18</v>
      </c>
      <c r="C13" s="6">
        <v>324</v>
      </c>
      <c r="D13" s="7">
        <v>0.33</v>
      </c>
      <c r="I13" s="10"/>
      <c r="J13" s="10"/>
    </row>
    <row r="14" spans="1:15">
      <c r="B14" s="7">
        <v>37.5</v>
      </c>
      <c r="C14" s="6">
        <v>1406.25</v>
      </c>
      <c r="D14" s="7">
        <v>0.31</v>
      </c>
      <c r="I14" s="10"/>
      <c r="J14" s="10"/>
    </row>
    <row r="15" spans="1:15">
      <c r="B15" s="7">
        <v>62.5</v>
      </c>
      <c r="C15" s="6">
        <v>3906.25</v>
      </c>
      <c r="D15" s="7">
        <v>0.27</v>
      </c>
      <c r="I15" s="10"/>
      <c r="J15" s="10"/>
    </row>
    <row r="16" spans="1:15">
      <c r="B16" s="7">
        <v>87.5</v>
      </c>
      <c r="C16" s="6">
        <v>7656.25</v>
      </c>
      <c r="D16" s="7">
        <v>0.24</v>
      </c>
    </row>
    <row r="17" spans="1:4">
      <c r="B17" s="7">
        <v>117.5</v>
      </c>
      <c r="C17" s="6">
        <v>13806.25</v>
      </c>
      <c r="D17" s="7">
        <v>0.21</v>
      </c>
    </row>
    <row r="19" spans="1:4">
      <c r="A19" s="2" t="s">
        <v>106</v>
      </c>
      <c r="B19" s="8" t="s">
        <v>107</v>
      </c>
      <c r="C19" s="8" t="s">
        <v>108</v>
      </c>
      <c r="D19" s="8" t="s">
        <v>104</v>
      </c>
    </row>
    <row r="20" spans="1:4">
      <c r="A20" t="s">
        <v>110</v>
      </c>
      <c r="B20" s="7">
        <v>18</v>
      </c>
      <c r="C20" s="6">
        <v>324</v>
      </c>
      <c r="D20" s="7">
        <v>0.33</v>
      </c>
    </row>
    <row r="21" spans="1:4">
      <c r="B21" s="7">
        <v>37.5</v>
      </c>
      <c r="C21" s="6">
        <v>1406.25</v>
      </c>
      <c r="D21" s="7">
        <v>0.31</v>
      </c>
    </row>
    <row r="22" spans="1:4">
      <c r="B22" s="7">
        <v>62.5</v>
      </c>
      <c r="C22" s="6">
        <v>3906.25</v>
      </c>
      <c r="D22" s="7">
        <v>0.27</v>
      </c>
    </row>
    <row r="23" spans="1:4">
      <c r="B23" s="7">
        <v>87.5</v>
      </c>
      <c r="C23" s="6">
        <v>7656.25</v>
      </c>
      <c r="D23" s="7">
        <v>0.24</v>
      </c>
    </row>
    <row r="24" spans="1:4">
      <c r="B24" s="7">
        <v>117.5</v>
      </c>
      <c r="C24" s="6">
        <v>13806.25</v>
      </c>
      <c r="D24" s="7">
        <v>0.21</v>
      </c>
    </row>
    <row r="27" spans="1:4">
      <c r="A27" t="s">
        <v>111</v>
      </c>
    </row>
    <row r="28" spans="1:4" ht="16.5" thickBot="1"/>
    <row r="29" spans="1:4">
      <c r="A29" s="72" t="s">
        <v>112</v>
      </c>
      <c r="B29" s="72"/>
    </row>
    <row r="30" spans="1:4">
      <c r="A30" s="69" t="s">
        <v>113</v>
      </c>
      <c r="B30" s="69">
        <v>0.99656093246964184</v>
      </c>
    </row>
    <row r="31" spans="1:4">
      <c r="A31" s="69" t="s">
        <v>114</v>
      </c>
      <c r="B31" s="69">
        <v>0.99313369212476199</v>
      </c>
    </row>
    <row r="32" spans="1:4">
      <c r="A32" s="69" t="s">
        <v>115</v>
      </c>
      <c r="B32" s="69">
        <v>0.99084492283301595</v>
      </c>
    </row>
    <row r="33" spans="1:9">
      <c r="A33" s="69" t="s">
        <v>116</v>
      </c>
      <c r="B33" s="69">
        <v>4.7069402741166553E-3</v>
      </c>
    </row>
    <row r="34" spans="1:9" ht="16.5" thickBot="1">
      <c r="A34" s="70" t="s">
        <v>117</v>
      </c>
      <c r="B34" s="70">
        <v>5</v>
      </c>
    </row>
    <row r="36" spans="1:9" ht="16.5" thickBot="1">
      <c r="A36" t="s">
        <v>118</v>
      </c>
    </row>
    <row r="37" spans="1:9">
      <c r="A37" s="71"/>
      <c r="B37" s="71" t="s">
        <v>123</v>
      </c>
      <c r="C37" s="71" t="s">
        <v>124</v>
      </c>
      <c r="D37" s="71" t="s">
        <v>125</v>
      </c>
      <c r="E37" s="71" t="s">
        <v>126</v>
      </c>
      <c r="F37" s="71" t="s">
        <v>127</v>
      </c>
    </row>
    <row r="38" spans="1:9">
      <c r="A38" s="69" t="s">
        <v>119</v>
      </c>
      <c r="B38" s="69">
        <v>1</v>
      </c>
      <c r="C38" s="69">
        <v>9.6135341397676991E-3</v>
      </c>
      <c r="D38" s="69">
        <v>9.6135341397676991E-3</v>
      </c>
      <c r="E38" s="69">
        <v>433.91603326132571</v>
      </c>
      <c r="F38" s="69">
        <v>2.4197514080650506E-4</v>
      </c>
    </row>
    <row r="39" spans="1:9">
      <c r="A39" s="69" t="s">
        <v>120</v>
      </c>
      <c r="B39" s="69">
        <v>3</v>
      </c>
      <c r="C39" s="69">
        <v>6.6465860232304113E-5</v>
      </c>
      <c r="D39" s="69">
        <v>2.2155286744101371E-5</v>
      </c>
      <c r="E39" s="69"/>
      <c r="F39" s="69"/>
    </row>
    <row r="40" spans="1:9" ht="16.5" thickBot="1">
      <c r="A40" s="70" t="s">
        <v>121</v>
      </c>
      <c r="B40" s="70">
        <v>4</v>
      </c>
      <c r="C40" s="70">
        <v>9.6800000000000028E-3</v>
      </c>
      <c r="D40" s="70"/>
      <c r="E40" s="70"/>
      <c r="F40" s="70"/>
    </row>
    <row r="41" spans="1:9" ht="16.5" thickBot="1"/>
    <row r="42" spans="1:9">
      <c r="A42" s="71"/>
      <c r="B42" s="71" t="s">
        <v>128</v>
      </c>
      <c r="C42" s="71" t="s">
        <v>116</v>
      </c>
      <c r="D42" s="71" t="s">
        <v>129</v>
      </c>
      <c r="E42" s="71" t="s">
        <v>130</v>
      </c>
      <c r="F42" s="71" t="s">
        <v>131</v>
      </c>
      <c r="G42" s="71" t="s">
        <v>132</v>
      </c>
      <c r="H42" s="71" t="s">
        <v>133</v>
      </c>
      <c r="I42" s="71" t="s">
        <v>134</v>
      </c>
    </row>
    <row r="43" spans="1:9">
      <c r="A43" s="69" t="s">
        <v>122</v>
      </c>
      <c r="B43" s="69">
        <v>0.35222662516845271</v>
      </c>
      <c r="C43" s="69">
        <v>4.3890930381389288E-3</v>
      </c>
      <c r="D43" s="69">
        <v>80.250434909396333</v>
      </c>
      <c r="E43" s="69">
        <v>4.2646740825928458E-6</v>
      </c>
      <c r="F43" s="69">
        <v>0.33825857224568101</v>
      </c>
      <c r="G43" s="69">
        <v>0.36619467809122441</v>
      </c>
      <c r="H43" s="69">
        <v>0.33825857224568101</v>
      </c>
      <c r="I43" s="69">
        <v>0.36619467809122441</v>
      </c>
    </row>
    <row r="44" spans="1:9" ht="16.5" thickBot="1">
      <c r="A44" s="70" t="s">
        <v>135</v>
      </c>
      <c r="B44" s="70">
        <v>-1.2418982224218697E-3</v>
      </c>
      <c r="C44" s="70">
        <v>5.9618789878213777E-5</v>
      </c>
      <c r="D44" s="70">
        <v>-20.830651292298217</v>
      </c>
      <c r="E44" s="70">
        <v>2.4197514080650528E-4</v>
      </c>
      <c r="F44" s="70">
        <v>-1.431631819995277E-3</v>
      </c>
      <c r="G44" s="70">
        <v>-1.0521646248484624E-3</v>
      </c>
      <c r="H44" s="70">
        <v>-1.431631819995277E-3</v>
      </c>
      <c r="I44" s="70">
        <v>-1.0521646248484624E-3</v>
      </c>
    </row>
    <row r="48" spans="1:9">
      <c r="A48" t="s">
        <v>136</v>
      </c>
    </row>
    <row r="49" spans="1:10" ht="16.5" thickBot="1">
      <c r="G49" s="8" t="s">
        <v>107</v>
      </c>
      <c r="H49" s="5" t="s">
        <v>143</v>
      </c>
      <c r="I49" s="5" t="s">
        <v>141</v>
      </c>
      <c r="J49" s="5" t="s">
        <v>142</v>
      </c>
    </row>
    <row r="50" spans="1:10">
      <c r="A50" s="71" t="s">
        <v>137</v>
      </c>
      <c r="B50" s="71" t="s">
        <v>138</v>
      </c>
      <c r="C50" s="71" t="s">
        <v>139</v>
      </c>
      <c r="D50" s="71" t="s">
        <v>140</v>
      </c>
      <c r="G50" s="7">
        <v>18</v>
      </c>
      <c r="H50" s="7">
        <v>0.33</v>
      </c>
      <c r="I50" s="7">
        <f xml:space="preserve"> -0.0012418982*G50 + 0.3522266252</f>
        <v>0.32987245759999995</v>
      </c>
      <c r="J50" s="7">
        <f xml:space="preserve"> 0.3627881688*EXP(-0.0046664463*G50)</f>
        <v>0.33356010483312182</v>
      </c>
    </row>
    <row r="51" spans="1:10">
      <c r="A51" s="69">
        <v>1</v>
      </c>
      <c r="B51" s="69">
        <v>0.32987245716485908</v>
      </c>
      <c r="C51" s="69">
        <v>1.2754283514093689E-4</v>
      </c>
      <c r="D51" s="69">
        <v>3.1288644390393264E-2</v>
      </c>
      <c r="G51" s="7">
        <v>37.5</v>
      </c>
      <c r="H51" s="7">
        <v>0.31</v>
      </c>
      <c r="I51" s="7">
        <f t="shared" ref="I51:I54" si="0" xml:space="preserve"> -0.0012418982*G51 + 0.3522266252</f>
        <v>0.3056554427</v>
      </c>
      <c r="J51" s="7">
        <f t="shared" ref="J51:J53" si="1" xml:space="preserve"> 0.3627881688*EXP(-0.0046664463*G51)</f>
        <v>0.30454759204592941</v>
      </c>
    </row>
    <row r="52" spans="1:10">
      <c r="A52" s="69">
        <v>2</v>
      </c>
      <c r="B52" s="69">
        <v>0.3056554418276326</v>
      </c>
      <c r="C52" s="69">
        <v>4.3445581723673965E-3</v>
      </c>
      <c r="D52" s="69">
        <v>1.0658014269352694</v>
      </c>
      <c r="G52" s="7">
        <v>62.5</v>
      </c>
      <c r="H52" s="7">
        <v>0.27</v>
      </c>
      <c r="I52" s="7">
        <f t="shared" si="0"/>
        <v>0.27460798769999994</v>
      </c>
      <c r="J52" s="7">
        <f t="shared" si="1"/>
        <v>0.27101284361078137</v>
      </c>
    </row>
    <row r="53" spans="1:10">
      <c r="A53" s="69">
        <v>3</v>
      </c>
      <c r="B53" s="69">
        <v>0.27460798626708582</v>
      </c>
      <c r="C53" s="69">
        <v>-4.6079862670858063E-3</v>
      </c>
      <c r="D53" s="69">
        <v>-1.1304252685565981</v>
      </c>
      <c r="G53" s="7">
        <v>87.5</v>
      </c>
      <c r="H53" s="7">
        <v>0.24</v>
      </c>
      <c r="I53" s="7">
        <f t="shared" si="0"/>
        <v>0.24356053269999997</v>
      </c>
      <c r="J53" s="7">
        <f t="shared" si="1"/>
        <v>0.2411707178788825</v>
      </c>
    </row>
    <row r="54" spans="1:10">
      <c r="A54" s="69">
        <v>4</v>
      </c>
      <c r="B54" s="69">
        <v>0.2435605307065391</v>
      </c>
      <c r="C54" s="69">
        <v>-3.5605307065391112E-3</v>
      </c>
      <c r="D54" s="69">
        <v>-0.87346481670157727</v>
      </c>
      <c r="G54" s="7">
        <v>117.5</v>
      </c>
      <c r="H54" s="7">
        <v>0.21</v>
      </c>
      <c r="I54" s="7">
        <f t="shared" si="0"/>
        <v>0.20630358669999999</v>
      </c>
      <c r="J54" s="7">
        <f xml:space="preserve"> 0.3627881688*EXP(-0.0046664463*G54)</f>
        <v>0.20966513581667967</v>
      </c>
    </row>
    <row r="55" spans="1:10" ht="16.5" thickBot="1">
      <c r="A55" s="70">
        <v>5</v>
      </c>
      <c r="B55" s="70">
        <v>0.20630358403388302</v>
      </c>
      <c r="C55" s="70">
        <v>3.6964159661169727E-3</v>
      </c>
      <c r="D55" s="70">
        <v>0.90680001393260812</v>
      </c>
    </row>
  </sheetData>
  <mergeCells count="15">
    <mergeCell ref="B3:O3"/>
    <mergeCell ref="B5:C5"/>
    <mergeCell ref="B6:C6"/>
    <mergeCell ref="D5:E5"/>
    <mergeCell ref="D6:E6"/>
    <mergeCell ref="F5:G5"/>
    <mergeCell ref="H5:I5"/>
    <mergeCell ref="F6:G6"/>
    <mergeCell ref="H6:I6"/>
    <mergeCell ref="J6:K6"/>
    <mergeCell ref="L6:M6"/>
    <mergeCell ref="N6:O6"/>
    <mergeCell ref="J5:K5"/>
    <mergeCell ref="L5:M5"/>
    <mergeCell ref="N5:O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130AC-717E-1F4D-B5D8-0FA0BA164D67}">
  <sheetPr codeName="Sheet4">
    <tabColor rgb="FFFFFF00"/>
  </sheetPr>
  <dimension ref="B1:HH198"/>
  <sheetViews>
    <sheetView showGridLines="0" zoomScaleNormal="100" workbookViewId="0">
      <selection activeCell="E7" sqref="E7"/>
    </sheetView>
  </sheetViews>
  <sheetFormatPr defaultColWidth="10.625" defaultRowHeight="15.75"/>
  <cols>
    <col min="1" max="1" width="5.625" style="120" customWidth="1"/>
    <col min="2" max="4" width="15.625" style="120" customWidth="1"/>
    <col min="5" max="5" width="25.625" style="120" customWidth="1"/>
    <col min="6" max="7" width="15.625" style="120" customWidth="1"/>
    <col min="8" max="8" width="10.625" style="120" customWidth="1"/>
    <col min="9" max="10" width="15.625" style="120" customWidth="1"/>
    <col min="11" max="11" width="10.125" style="120" customWidth="1"/>
    <col min="12" max="12" width="17" style="120" customWidth="1"/>
    <col min="13" max="13" width="12.125" style="121" bestFit="1" customWidth="1"/>
    <col min="14" max="14" width="15.125" style="121" hidden="1" customWidth="1"/>
    <col min="15" max="15" width="13.125" style="211" hidden="1" customWidth="1"/>
    <col min="16" max="16" width="10.625" style="120" hidden="1" customWidth="1"/>
    <col min="17" max="17" width="12.5" style="120" hidden="1" customWidth="1"/>
    <col min="18" max="18" width="10.5" style="120" hidden="1" customWidth="1"/>
    <col min="19" max="19" width="12.625" style="120" hidden="1" customWidth="1"/>
    <col min="20" max="20" width="11.125" style="120" hidden="1" customWidth="1"/>
    <col min="21" max="21" width="13.125" style="120" hidden="1" customWidth="1"/>
    <col min="22" max="22" width="18" style="120" hidden="1" customWidth="1"/>
    <col min="23" max="23" width="11" style="120" hidden="1" customWidth="1"/>
    <col min="24" max="24" width="13.125" style="120" hidden="1" customWidth="1"/>
    <col min="25" max="32" width="10.625" style="120" hidden="1" customWidth="1"/>
    <col min="33" max="34" width="0" style="121" hidden="1" customWidth="1"/>
    <col min="35" max="216" width="10.625" style="121"/>
    <col min="217" max="16384" width="10.625" style="120"/>
  </cols>
  <sheetData>
    <row r="1" spans="2:32" ht="20.100000000000001" customHeight="1">
      <c r="B1" s="283" t="s">
        <v>230</v>
      </c>
      <c r="C1" s="283"/>
      <c r="D1" s="283"/>
      <c r="E1" s="283"/>
      <c r="F1" s="283"/>
      <c r="G1" s="283"/>
      <c r="H1" s="283"/>
      <c r="I1" s="283"/>
      <c r="J1" s="283"/>
      <c r="K1" s="121"/>
      <c r="L1" s="112"/>
      <c r="M1" s="112"/>
      <c r="N1" s="112"/>
      <c r="O1" s="121"/>
      <c r="P1" s="121"/>
      <c r="Q1" s="121"/>
      <c r="R1" s="121"/>
      <c r="S1" s="121"/>
      <c r="T1" s="121"/>
      <c r="U1" s="121"/>
      <c r="V1" s="121"/>
      <c r="W1" s="158"/>
      <c r="X1" s="121"/>
      <c r="Y1" s="127"/>
      <c r="Z1" s="127"/>
      <c r="AA1" s="127"/>
      <c r="AB1" s="127"/>
      <c r="AC1" s="121"/>
      <c r="AD1" s="121"/>
      <c r="AE1" s="121"/>
      <c r="AF1" s="121"/>
    </row>
    <row r="2" spans="2:32" ht="84.95" customHeight="1">
      <c r="B2" s="283"/>
      <c r="C2" s="283"/>
      <c r="D2" s="283"/>
      <c r="E2" s="283"/>
      <c r="F2" s="283"/>
      <c r="G2" s="283"/>
      <c r="H2" s="283"/>
      <c r="I2" s="283"/>
      <c r="J2" s="283"/>
      <c r="K2" s="121"/>
      <c r="L2" s="112"/>
      <c r="M2" s="112"/>
      <c r="N2" s="183"/>
      <c r="O2" s="183"/>
      <c r="P2" s="183"/>
      <c r="Q2" s="183"/>
      <c r="R2" s="183"/>
      <c r="S2" s="183"/>
      <c r="T2" s="183"/>
      <c r="U2" s="183"/>
      <c r="V2" s="183"/>
      <c r="W2" s="183"/>
      <c r="X2" s="183"/>
      <c r="Y2" s="183"/>
      <c r="Z2" s="183"/>
      <c r="AA2" s="183"/>
      <c r="AB2" s="183"/>
      <c r="AC2" s="183"/>
      <c r="AD2" s="183"/>
      <c r="AE2" s="183"/>
      <c r="AF2" s="121"/>
    </row>
    <row r="3" spans="2:32" ht="20.100000000000001" customHeight="1">
      <c r="B3" s="121"/>
      <c r="C3" s="121"/>
      <c r="D3" s="121"/>
      <c r="E3" s="121"/>
      <c r="F3" s="121"/>
      <c r="G3" s="121"/>
      <c r="H3" s="121"/>
      <c r="I3" s="121"/>
      <c r="J3" s="121"/>
      <c r="K3" s="121"/>
      <c r="L3" s="121"/>
      <c r="N3" s="183"/>
      <c r="O3" s="183"/>
      <c r="P3" s="183"/>
      <c r="Q3" s="183"/>
      <c r="R3" s="183"/>
      <c r="S3" s="183"/>
      <c r="T3" s="183"/>
      <c r="U3" s="183"/>
      <c r="V3" s="183"/>
      <c r="W3" s="183"/>
      <c r="X3" s="183"/>
      <c r="Y3" s="183"/>
      <c r="Z3" s="183"/>
      <c r="AA3" s="183"/>
      <c r="AB3" s="183"/>
      <c r="AC3" s="183"/>
      <c r="AD3" s="183"/>
      <c r="AE3" s="183"/>
      <c r="AF3" s="121"/>
    </row>
    <row r="4" spans="2:32" ht="20.100000000000001" customHeight="1" thickBot="1">
      <c r="B4" s="122" t="s">
        <v>148</v>
      </c>
      <c r="C4" s="123"/>
      <c r="D4" s="123"/>
      <c r="E4" s="124"/>
      <c r="F4" s="125"/>
      <c r="G4" s="126"/>
      <c r="H4" s="126"/>
      <c r="I4" s="126"/>
      <c r="J4" s="126"/>
      <c r="K4" s="127"/>
      <c r="L4" s="127"/>
      <c r="M4" s="127"/>
      <c r="N4" s="183"/>
      <c r="O4" s="183"/>
      <c r="P4" s="183"/>
      <c r="Q4" s="183"/>
      <c r="R4" s="183"/>
      <c r="S4" s="183"/>
      <c r="T4" s="183"/>
      <c r="U4" s="183"/>
      <c r="V4" s="183"/>
      <c r="W4" s="183"/>
      <c r="X4" s="183"/>
      <c r="Y4" s="183"/>
      <c r="Z4" s="183"/>
      <c r="AA4" s="183"/>
      <c r="AB4" s="183"/>
      <c r="AC4" s="183"/>
      <c r="AD4" s="183"/>
      <c r="AE4" s="183"/>
      <c r="AF4" s="121"/>
    </row>
    <row r="5" spans="2:32" ht="20.100000000000001" customHeight="1">
      <c r="B5" s="129"/>
      <c r="C5" s="129"/>
      <c r="D5" s="129"/>
      <c r="E5" s="129"/>
      <c r="F5" s="129"/>
      <c r="G5" s="121"/>
      <c r="H5" s="121"/>
      <c r="I5" s="121"/>
      <c r="J5" s="121"/>
      <c r="K5" s="127"/>
      <c r="L5" s="127"/>
      <c r="M5" s="127"/>
      <c r="O5" s="121"/>
      <c r="P5" s="121"/>
      <c r="Q5" s="121"/>
      <c r="R5" s="121"/>
      <c r="S5" s="121"/>
      <c r="T5" s="121"/>
      <c r="U5" s="158" t="e">
        <f>I14*#REF!</f>
        <v>#VALUE!</v>
      </c>
      <c r="V5" s="121"/>
      <c r="W5" s="158" t="e">
        <f>#REF!*1.22</f>
        <v>#REF!</v>
      </c>
      <c r="X5" s="158" t="e">
        <f>W5*#REF!</f>
        <v>#REF!</v>
      </c>
      <c r="Y5" s="158" t="e">
        <f>W5*#REF!</f>
        <v>#REF!</v>
      </c>
      <c r="Z5" s="121"/>
      <c r="AA5" s="121"/>
      <c r="AB5" s="121"/>
      <c r="AC5" s="121"/>
      <c r="AD5" s="121"/>
      <c r="AE5" s="121"/>
      <c r="AF5" s="121"/>
    </row>
    <row r="6" spans="2:32" ht="20.100000000000001" customHeight="1">
      <c r="B6" s="250" t="s">
        <v>47</v>
      </c>
      <c r="C6" s="250"/>
      <c r="D6" s="251"/>
      <c r="E6" s="130" t="s">
        <v>48</v>
      </c>
      <c r="F6" s="129"/>
      <c r="G6" s="121"/>
      <c r="H6" s="121"/>
      <c r="I6" s="127"/>
      <c r="J6" s="58"/>
      <c r="K6" s="121"/>
      <c r="L6" s="121"/>
      <c r="O6" s="121"/>
      <c r="P6" s="121"/>
      <c r="Q6" s="121"/>
      <c r="R6" s="121"/>
      <c r="S6" s="121"/>
      <c r="T6" s="121"/>
      <c r="U6" s="158"/>
      <c r="V6" s="121"/>
      <c r="W6" s="158"/>
      <c r="X6" s="158"/>
      <c r="Y6" s="158"/>
      <c r="Z6" s="121"/>
      <c r="AA6" s="121"/>
      <c r="AB6" s="121"/>
      <c r="AC6" s="121"/>
      <c r="AD6" s="121"/>
      <c r="AE6" s="121"/>
      <c r="AF6" s="121"/>
    </row>
    <row r="7" spans="2:32" ht="20.100000000000001" customHeight="1">
      <c r="B7" s="250" t="s">
        <v>187</v>
      </c>
      <c r="C7" s="250"/>
      <c r="D7" s="251"/>
      <c r="E7" s="131">
        <v>1</v>
      </c>
      <c r="F7" s="210"/>
      <c r="G7" s="121"/>
      <c r="H7" s="132"/>
      <c r="I7" s="127"/>
      <c r="J7" s="58"/>
      <c r="K7" s="121"/>
      <c r="L7" s="121"/>
      <c r="O7" s="121"/>
      <c r="P7" s="121"/>
      <c r="Q7" s="121"/>
      <c r="R7" s="121"/>
      <c r="S7" s="59"/>
      <c r="T7" s="59"/>
      <c r="U7" s="59"/>
      <c r="V7" s="59"/>
      <c r="W7" s="59"/>
      <c r="X7" s="121"/>
      <c r="Y7" s="121"/>
      <c r="Z7" s="121"/>
      <c r="AA7" s="121"/>
      <c r="AB7" s="121"/>
      <c r="AC7" s="121"/>
      <c r="AD7" s="121"/>
      <c r="AE7" s="121"/>
      <c r="AF7" s="121"/>
    </row>
    <row r="8" spans="2:32" ht="20.100000000000001" hidden="1" customHeight="1">
      <c r="B8" s="250" t="s">
        <v>188</v>
      </c>
      <c r="C8" s="250"/>
      <c r="D8" s="251"/>
      <c r="E8" s="134">
        <v>1.5</v>
      </c>
      <c r="F8" s="210"/>
      <c r="G8" s="121"/>
      <c r="H8" s="121"/>
      <c r="I8" s="127"/>
      <c r="J8" s="58"/>
      <c r="K8" s="121"/>
      <c r="L8" s="121"/>
      <c r="O8" s="121"/>
      <c r="P8" s="121"/>
      <c r="Q8" s="121"/>
      <c r="R8" s="121"/>
      <c r="S8" s="121"/>
      <c r="T8" s="121"/>
      <c r="U8" s="121"/>
      <c r="V8" s="121"/>
      <c r="W8" s="121"/>
      <c r="X8" s="121"/>
      <c r="Y8" s="121"/>
      <c r="Z8" s="121"/>
      <c r="AA8" s="121"/>
      <c r="AB8" s="121"/>
      <c r="AC8" s="121"/>
      <c r="AD8" s="121"/>
      <c r="AE8" s="121"/>
      <c r="AF8" s="121"/>
    </row>
    <row r="9" spans="2:32" ht="20.100000000000001" hidden="1" customHeight="1">
      <c r="B9" s="250" t="s">
        <v>46</v>
      </c>
      <c r="C9" s="250"/>
      <c r="D9" s="251"/>
      <c r="E9" s="137">
        <v>74</v>
      </c>
      <c r="F9" s="129" t="str">
        <f>IF(E9&gt;75.9,"No phosphorus impact on yield is considered","")</f>
        <v/>
      </c>
      <c r="G9" s="121"/>
      <c r="H9" s="121"/>
      <c r="I9" s="127"/>
      <c r="J9" s="58"/>
      <c r="K9" s="121"/>
      <c r="L9" s="121"/>
      <c r="O9" s="121"/>
      <c r="P9" s="121"/>
      <c r="Q9" s="121"/>
      <c r="R9" s="121"/>
      <c r="S9" s="121"/>
      <c r="T9" s="121"/>
      <c r="U9" s="121"/>
      <c r="V9" s="121"/>
      <c r="W9" s="121"/>
      <c r="X9" s="121"/>
      <c r="Y9" s="121"/>
      <c r="Z9" s="121"/>
      <c r="AA9" s="121"/>
      <c r="AB9" s="121"/>
      <c r="AC9" s="121"/>
      <c r="AD9" s="121"/>
      <c r="AE9" s="121"/>
      <c r="AF9" s="121"/>
    </row>
    <row r="10" spans="2:32" ht="20.100000000000001" customHeight="1">
      <c r="B10" s="250" t="s">
        <v>4</v>
      </c>
      <c r="C10" s="250"/>
      <c r="D10" s="251"/>
      <c r="E10" s="131">
        <v>0.12</v>
      </c>
      <c r="F10" s="129"/>
      <c r="G10" s="121"/>
      <c r="H10" s="121"/>
      <c r="I10" s="127"/>
      <c r="J10" s="58"/>
      <c r="K10" s="121"/>
      <c r="L10" s="121"/>
      <c r="O10" s="121"/>
      <c r="P10" s="121"/>
      <c r="Q10" s="121"/>
      <c r="R10" s="121"/>
      <c r="S10" s="121"/>
      <c r="T10" s="121"/>
      <c r="U10" s="128"/>
      <c r="V10" s="121"/>
      <c r="W10" s="121"/>
      <c r="X10" s="121" t="s">
        <v>75</v>
      </c>
      <c r="Y10" s="121" t="s">
        <v>72</v>
      </c>
      <c r="Z10" s="121"/>
      <c r="AA10" s="121"/>
      <c r="AB10" s="121"/>
      <c r="AC10" s="121"/>
      <c r="AD10" s="121"/>
      <c r="AE10" s="121"/>
      <c r="AF10" s="121"/>
    </row>
    <row r="11" spans="2:32" ht="20.100000000000001" hidden="1" customHeight="1">
      <c r="B11" s="250" t="s">
        <v>6</v>
      </c>
      <c r="C11" s="250"/>
      <c r="D11" s="251"/>
      <c r="E11" s="130">
        <f>COUNTIF(D78:D83,"&gt;0")</f>
        <v>5</v>
      </c>
      <c r="F11" s="129"/>
      <c r="G11" s="121"/>
      <c r="H11" s="121"/>
      <c r="I11" s="127"/>
      <c r="J11" s="127"/>
      <c r="K11" s="121"/>
      <c r="L11" s="121"/>
      <c r="O11" s="121"/>
      <c r="P11" s="121"/>
      <c r="Q11" s="121"/>
      <c r="R11" s="121"/>
      <c r="S11" s="121"/>
      <c r="T11" s="121"/>
      <c r="U11" s="128"/>
      <c r="V11" s="121"/>
      <c r="W11" s="121"/>
      <c r="X11" s="121"/>
      <c r="Y11" s="121"/>
      <c r="Z11" s="121"/>
      <c r="AA11" s="121"/>
      <c r="AB11" s="121"/>
      <c r="AC11" s="121"/>
      <c r="AD11" s="121"/>
      <c r="AE11" s="121"/>
      <c r="AF11" s="121"/>
    </row>
    <row r="12" spans="2:32" ht="20.100000000000001" customHeight="1">
      <c r="B12" s="249" t="s">
        <v>0</v>
      </c>
      <c r="C12" s="249"/>
      <c r="D12" s="249"/>
      <c r="E12" s="138" t="s">
        <v>1</v>
      </c>
      <c r="F12" s="121"/>
      <c r="G12" s="121"/>
      <c r="H12" s="121"/>
      <c r="I12" s="127"/>
      <c r="J12" s="127"/>
      <c r="K12" s="121"/>
      <c r="L12" s="121"/>
      <c r="O12" s="121"/>
      <c r="P12" s="121"/>
      <c r="Q12" s="121"/>
      <c r="R12" s="121"/>
      <c r="S12" s="121"/>
      <c r="T12" s="121"/>
      <c r="U12" s="128"/>
      <c r="V12" s="121"/>
      <c r="W12" s="121"/>
      <c r="X12" s="121"/>
      <c r="Y12" s="281" t="s">
        <v>2</v>
      </c>
      <c r="Z12" s="282"/>
      <c r="AA12" s="127"/>
      <c r="AB12" s="121"/>
      <c r="AC12" s="121"/>
      <c r="AD12" s="121"/>
      <c r="AE12" s="121"/>
      <c r="AF12" s="121"/>
    </row>
    <row r="13" spans="2:32" ht="20.100000000000001" customHeight="1" thickBot="1">
      <c r="B13" s="121"/>
      <c r="C13" s="212"/>
      <c r="D13" s="125"/>
      <c r="E13" s="125"/>
      <c r="F13" s="255" t="s">
        <v>8</v>
      </c>
      <c r="G13" s="255"/>
      <c r="H13" s="121"/>
      <c r="I13" s="255" t="s">
        <v>223</v>
      </c>
      <c r="J13" s="255"/>
      <c r="K13" s="121"/>
      <c r="L13" s="121"/>
      <c r="O13" s="121"/>
      <c r="P13" s="121"/>
      <c r="Q13" s="121"/>
      <c r="R13" s="121"/>
      <c r="S13" s="121"/>
      <c r="T13" s="121"/>
      <c r="U13" s="128"/>
      <c r="V13" s="121"/>
      <c r="W13" s="121"/>
      <c r="X13" s="121"/>
      <c r="Y13" s="133"/>
      <c r="Z13" s="133" t="s">
        <v>3</v>
      </c>
      <c r="AA13" s="127"/>
      <c r="AB13" s="121"/>
      <c r="AC13" s="121"/>
      <c r="AD13" s="121"/>
      <c r="AE13" s="121"/>
      <c r="AF13" s="121"/>
    </row>
    <row r="14" spans="2:32" ht="20.100000000000001" customHeight="1">
      <c r="B14" s="117" t="s">
        <v>222</v>
      </c>
      <c r="C14" s="265" t="s">
        <v>172</v>
      </c>
      <c r="D14" s="266"/>
      <c r="E14" s="139" t="s">
        <v>173</v>
      </c>
      <c r="F14" s="140" t="s">
        <v>88</v>
      </c>
      <c r="G14" s="139" t="s">
        <v>221</v>
      </c>
      <c r="H14" s="121"/>
      <c r="I14" s="140" t="s">
        <v>9</v>
      </c>
      <c r="J14" s="142" t="s">
        <v>221</v>
      </c>
      <c r="K14" s="121"/>
      <c r="L14" s="213" t="s">
        <v>216</v>
      </c>
      <c r="O14" s="121"/>
      <c r="P14" s="121"/>
      <c r="Q14" s="121"/>
      <c r="R14" s="121"/>
      <c r="S14" s="121"/>
      <c r="T14" s="121"/>
      <c r="U14" s="132">
        <v>2</v>
      </c>
      <c r="V14" s="121"/>
      <c r="W14" s="121"/>
      <c r="X14" s="121"/>
      <c r="Y14" s="133" t="s">
        <v>5</v>
      </c>
      <c r="Z14" s="133">
        <f>0.0000472912571538526*(V23*V23)- 0.0143907820290028*V23 + 2.0275145422229</f>
        <v>1.5652547755075179</v>
      </c>
      <c r="AA14" s="127"/>
      <c r="AB14" s="121"/>
      <c r="AC14" s="121"/>
      <c r="AD14" s="121"/>
      <c r="AE14" s="121"/>
      <c r="AF14" s="121"/>
    </row>
    <row r="15" spans="2:32" ht="20.100000000000001" customHeight="1">
      <c r="B15" s="118">
        <f>IF(C15&gt;0,1," ")</f>
        <v>1</v>
      </c>
      <c r="C15" s="119">
        <v>23</v>
      </c>
      <c r="D15" s="119">
        <v>50</v>
      </c>
      <c r="E15" s="145">
        <v>2400</v>
      </c>
      <c r="F15" s="146">
        <f>I15*1.3</f>
        <v>0.48835948995834561</v>
      </c>
      <c r="G15" s="131">
        <v>274.70999999999998</v>
      </c>
      <c r="H15" s="121"/>
      <c r="I15" s="147">
        <f>IFERROR(VLOOKUP($E$12,$Y$13:$Z$14,2,FALSE)*E15/10000,"")</f>
        <v>0.37566114612180429</v>
      </c>
      <c r="J15" s="148">
        <v>279.72000000000003</v>
      </c>
      <c r="K15" s="121"/>
      <c r="L15" s="214">
        <f>I15*131/122</f>
        <v>0.40337385362259315</v>
      </c>
      <c r="O15" s="121"/>
      <c r="P15" s="121"/>
      <c r="Q15" s="121"/>
      <c r="R15" s="121"/>
      <c r="S15" s="121"/>
      <c r="T15" s="121" t="s">
        <v>48</v>
      </c>
      <c r="U15" s="121">
        <v>3</v>
      </c>
      <c r="V15" s="121"/>
      <c r="W15" s="121"/>
      <c r="X15" s="121"/>
      <c r="AA15" s="127"/>
      <c r="AB15" s="121"/>
      <c r="AC15" s="121"/>
      <c r="AD15" s="121"/>
      <c r="AE15" s="121"/>
      <c r="AF15" s="121"/>
    </row>
    <row r="16" spans="2:32" ht="20.100000000000001" customHeight="1">
      <c r="B16" s="118">
        <f>IF(D79&gt;0,(B15+1)," ")</f>
        <v>2</v>
      </c>
      <c r="C16" s="118">
        <f>IF(D79&gt;0,D15,"")</f>
        <v>50</v>
      </c>
      <c r="D16" s="119">
        <v>75</v>
      </c>
      <c r="E16" s="145">
        <v>2400</v>
      </c>
      <c r="F16" s="146">
        <f t="shared" ref="F16:F19" si="0">I16*1.3</f>
        <v>0.40960050726424801</v>
      </c>
      <c r="G16" s="131">
        <v>260.44</v>
      </c>
      <c r="H16" s="121"/>
      <c r="I16" s="147">
        <f>IFERROR(VLOOKUP($E$12,$Y$17:$Z$18,2,FALSE)*E16/10000,"")</f>
        <v>0.31507731328019078</v>
      </c>
      <c r="J16" s="131">
        <v>263.02</v>
      </c>
      <c r="K16" s="121"/>
      <c r="L16" s="213"/>
      <c r="O16" s="121"/>
      <c r="P16" s="121"/>
      <c r="Q16" s="121"/>
      <c r="R16" s="121"/>
      <c r="S16" s="121"/>
      <c r="T16" s="121" t="s">
        <v>49</v>
      </c>
      <c r="U16" s="121">
        <v>4</v>
      </c>
      <c r="V16" s="121"/>
      <c r="W16" s="121"/>
      <c r="X16" s="121"/>
      <c r="Y16" s="281" t="s">
        <v>7</v>
      </c>
      <c r="Z16" s="282"/>
      <c r="AA16" s="127"/>
      <c r="AB16" s="121"/>
      <c r="AC16" s="121"/>
      <c r="AD16" s="121"/>
      <c r="AE16" s="121"/>
      <c r="AF16" s="121"/>
    </row>
    <row r="17" spans="2:216" ht="20.100000000000001" customHeight="1">
      <c r="B17" s="118">
        <f t="shared" ref="B17:B20" si="1">IF(D80&gt;0,(B16+1)," ")</f>
        <v>3</v>
      </c>
      <c r="C17" s="118">
        <f>IF(D80&gt;0,D16,"")</f>
        <v>75</v>
      </c>
      <c r="D17" s="119">
        <v>90</v>
      </c>
      <c r="E17" s="145">
        <v>2500</v>
      </c>
      <c r="F17" s="146">
        <f t="shared" si="0"/>
        <v>0.37769912174591291</v>
      </c>
      <c r="G17" s="131">
        <v>247.49</v>
      </c>
      <c r="H17" s="121"/>
      <c r="I17" s="147">
        <f>IFERROR(VLOOKUP($E$12,$Y$21:$Z$22,2,FALSE)*E17/10000,"")</f>
        <v>0.29053778595839452</v>
      </c>
      <c r="J17" s="131">
        <v>249.4</v>
      </c>
      <c r="K17" s="121"/>
      <c r="L17" s="121"/>
      <c r="O17" s="121"/>
      <c r="P17" s="121"/>
      <c r="Q17" s="121"/>
      <c r="R17" s="121"/>
      <c r="S17" s="121"/>
      <c r="T17" s="121"/>
      <c r="U17" s="121">
        <v>5</v>
      </c>
      <c r="V17" s="121"/>
      <c r="W17" s="121"/>
      <c r="X17" s="121"/>
      <c r="Y17" s="133"/>
      <c r="Z17" s="133" t="s">
        <v>3</v>
      </c>
      <c r="AA17" s="127"/>
      <c r="AB17" s="121"/>
      <c r="AC17" s="121"/>
      <c r="AD17" s="121"/>
      <c r="AE17" s="121"/>
      <c r="AF17" s="121"/>
    </row>
    <row r="18" spans="2:216" ht="20.100000000000001" customHeight="1">
      <c r="B18" s="118">
        <f t="shared" si="1"/>
        <v>4</v>
      </c>
      <c r="C18" s="118">
        <f>IF(D81&gt;0,D17,"")</f>
        <v>90</v>
      </c>
      <c r="D18" s="119">
        <v>110</v>
      </c>
      <c r="E18" s="145">
        <v>2200</v>
      </c>
      <c r="F18" s="146">
        <f t="shared" si="0"/>
        <v>0.30354578850628777</v>
      </c>
      <c r="G18" s="131">
        <v>237.61</v>
      </c>
      <c r="H18" s="121"/>
      <c r="I18" s="147">
        <f>IFERROR(VLOOKUP($E$12,$Y$25:$Z$26,2,FALSE)*E18/10000,"")</f>
        <v>0.23349676038945213</v>
      </c>
      <c r="J18" s="131">
        <v>238.86</v>
      </c>
      <c r="K18" s="121"/>
      <c r="L18" s="121"/>
      <c r="O18" s="121"/>
      <c r="P18" s="121"/>
      <c r="Q18" s="121"/>
      <c r="R18" s="121"/>
      <c r="S18" s="121"/>
      <c r="T18" s="121"/>
      <c r="U18" s="121">
        <v>6</v>
      </c>
      <c r="V18" s="121"/>
      <c r="W18" s="121"/>
      <c r="X18" s="121"/>
      <c r="Y18" s="133" t="s">
        <v>5</v>
      </c>
      <c r="Z18" s="133">
        <f>0.0000472912571538526*(V24*V24) - 0.0143907820290028*V24 + 2.0275145422229</f>
        <v>1.3128221386674617</v>
      </c>
      <c r="AA18" s="127"/>
      <c r="AB18" s="121"/>
      <c r="AC18" s="121"/>
      <c r="AD18" s="121"/>
      <c r="AE18" s="121"/>
      <c r="AF18" s="121"/>
    </row>
    <row r="19" spans="2:216" ht="20.100000000000001" customHeight="1">
      <c r="B19" s="118">
        <f t="shared" si="1"/>
        <v>5</v>
      </c>
      <c r="C19" s="118">
        <f>IF(D82&gt;0,D18,"")</f>
        <v>110</v>
      </c>
      <c r="D19" s="119">
        <v>130</v>
      </c>
      <c r="E19" s="145">
        <v>2400</v>
      </c>
      <c r="F19" s="146">
        <f t="shared" si="0"/>
        <v>0.30626381814850889</v>
      </c>
      <c r="G19" s="131">
        <v>231.73</v>
      </c>
      <c r="H19" s="121"/>
      <c r="I19" s="147">
        <f>IFERROR(VLOOKUP($E$12,$Y$43:$Z$44,2,FALSE)*E19/10000,"")</f>
        <v>0.23558755242192991</v>
      </c>
      <c r="J19" s="131">
        <v>232.35</v>
      </c>
      <c r="K19" s="121"/>
      <c r="L19" s="121"/>
      <c r="O19" s="121"/>
      <c r="P19" s="121"/>
      <c r="Q19" s="121"/>
      <c r="R19" s="121"/>
      <c r="S19" s="121"/>
      <c r="T19" s="121"/>
      <c r="U19" s="121"/>
      <c r="V19" s="121"/>
      <c r="W19" s="121"/>
      <c r="X19" s="121"/>
      <c r="Y19" s="121"/>
      <c r="Z19" s="121"/>
      <c r="AA19" s="127"/>
      <c r="AB19" s="121"/>
      <c r="AC19" s="121"/>
      <c r="AD19" s="121"/>
      <c r="AE19" s="121"/>
      <c r="AF19" s="121"/>
    </row>
    <row r="20" spans="2:216" ht="20.100000000000001" customHeight="1">
      <c r="B20" s="118" t="str">
        <f t="shared" si="1"/>
        <v xml:space="preserve"> </v>
      </c>
      <c r="C20" s="118" t="str">
        <f>IF(D83&gt;0,D19,"")</f>
        <v/>
      </c>
      <c r="D20" s="119"/>
      <c r="E20" s="145"/>
      <c r="F20" s="146"/>
      <c r="G20" s="131"/>
      <c r="H20" s="121"/>
      <c r="I20" s="147" t="str">
        <f>IFERROR(VLOOKUP($E$12,$Y$47:$Z$48,2,FALSE)*E20/10000,"")</f>
        <v/>
      </c>
      <c r="J20" s="131"/>
      <c r="K20" s="121"/>
      <c r="L20" s="121"/>
      <c r="O20" s="121"/>
      <c r="P20" s="121"/>
      <c r="Q20" s="121"/>
      <c r="R20" s="121"/>
      <c r="S20" s="121"/>
      <c r="T20" s="121"/>
      <c r="U20" s="121"/>
      <c r="V20" s="121"/>
      <c r="W20" s="121"/>
      <c r="X20" s="121"/>
      <c r="Y20" s="281" t="s">
        <v>12</v>
      </c>
      <c r="Z20" s="282"/>
      <c r="AA20" s="127"/>
      <c r="AB20" s="121"/>
      <c r="AC20" s="121"/>
      <c r="AD20" s="121">
        <v>0</v>
      </c>
      <c r="AE20" s="121"/>
      <c r="AF20" s="121"/>
    </row>
    <row r="21" spans="2:216" s="211" customFormat="1" ht="20.100000000000001" customHeight="1">
      <c r="B21" s="205"/>
      <c r="C21" s="215"/>
      <c r="D21" s="215"/>
      <c r="E21" s="216"/>
      <c r="F21" s="217"/>
      <c r="G21" s="218"/>
      <c r="I21" s="219"/>
      <c r="J21" s="218"/>
      <c r="N21" s="121"/>
      <c r="O21" s="121"/>
      <c r="P21" s="121"/>
      <c r="Q21" s="121"/>
      <c r="R21" s="121"/>
      <c r="S21" s="121"/>
      <c r="T21" s="121"/>
      <c r="U21" s="121"/>
      <c r="V21" s="121"/>
      <c r="W21" s="121"/>
      <c r="X21" s="121"/>
      <c r="Y21" s="133"/>
      <c r="Z21" s="133" t="s">
        <v>3</v>
      </c>
      <c r="AA21" s="127"/>
      <c r="AB21" s="121"/>
      <c r="AC21" s="121"/>
      <c r="AD21" s="121"/>
      <c r="AE21" s="121"/>
    </row>
    <row r="22" spans="2:216" ht="20.100000000000001" customHeight="1" thickBot="1">
      <c r="B22" s="121"/>
      <c r="C22" s="220"/>
      <c r="D22" s="221"/>
      <c r="E22" s="221"/>
      <c r="F22" s="109"/>
      <c r="G22" s="222"/>
      <c r="H22" s="89"/>
      <c r="I22" s="223"/>
      <c r="J22" s="89"/>
      <c r="K22" s="224"/>
      <c r="L22" s="121"/>
      <c r="O22" s="121"/>
      <c r="P22" s="121"/>
      <c r="Q22" s="121" t="s">
        <v>161</v>
      </c>
      <c r="R22" s="121"/>
      <c r="S22" s="121" t="s">
        <v>144</v>
      </c>
      <c r="U22" s="143"/>
      <c r="V22" s="144" t="s">
        <v>10</v>
      </c>
      <c r="W22" s="144" t="s">
        <v>174</v>
      </c>
      <c r="X22" s="133" t="s">
        <v>99</v>
      </c>
      <c r="Y22" s="133" t="s">
        <v>5</v>
      </c>
      <c r="Z22" s="133">
        <f>0.0000472912571538526*(V25*V25) - 0.0143907820290028*V25 + 2.0275145422229</f>
        <v>1.1621511438335781</v>
      </c>
      <c r="AA22" s="127"/>
      <c r="AB22" s="121"/>
      <c r="AC22" s="121"/>
      <c r="AD22" s="121"/>
      <c r="AE22" s="121"/>
      <c r="AF22" s="121"/>
    </row>
    <row r="23" spans="2:216" s="189" customFormat="1" ht="24.95" customHeight="1" thickBot="1">
      <c r="B23" s="267" t="s">
        <v>224</v>
      </c>
      <c r="C23" s="268"/>
      <c r="D23" s="268"/>
      <c r="E23" s="268"/>
      <c r="F23" s="268"/>
      <c r="G23" s="268"/>
      <c r="H23" s="268"/>
      <c r="I23" s="268"/>
      <c r="J23" s="269"/>
      <c r="K23" s="190"/>
      <c r="L23" s="191"/>
      <c r="M23" s="191"/>
      <c r="N23" s="121"/>
      <c r="O23" s="121"/>
      <c r="P23" s="121"/>
      <c r="Q23" s="149">
        <f t="shared" ref="Q23:Q28" si="2">IFERROR(I15/X23,"")</f>
        <v>1.224061261072348</v>
      </c>
      <c r="R23" s="121"/>
      <c r="S23" s="149">
        <f t="shared" ref="S23:S28" si="3">IFERROR(F15/X23,"")</f>
        <v>1.5912796393940527</v>
      </c>
      <c r="T23" s="150"/>
      <c r="U23" s="133" t="s">
        <v>11</v>
      </c>
      <c r="V23" s="151">
        <f t="shared" ref="V23:V28" si="4">IFERROR(AVERAGE(C15:D15),"")</f>
        <v>36.5</v>
      </c>
      <c r="W23" s="151">
        <f t="shared" ref="W23:W28" si="5">IF(D15-C15=0,0,D15-C15)</f>
        <v>27</v>
      </c>
      <c r="X23" s="73">
        <f t="shared" ref="X23:X28" si="6" xml:space="preserve"> -0.0012418982*V23+ 0.3522266252</f>
        <v>0.30689734089999998</v>
      </c>
      <c r="Y23" s="121"/>
      <c r="Z23" s="121"/>
      <c r="AA23" s="127"/>
      <c r="AB23" s="121"/>
      <c r="AC23" s="121"/>
      <c r="AD23" s="121"/>
      <c r="AE23" s="121"/>
      <c r="AF23" s="191"/>
      <c r="AG23" s="191"/>
      <c r="AH23" s="192"/>
      <c r="AI23" s="192"/>
      <c r="AJ23" s="192"/>
      <c r="AK23" s="192"/>
      <c r="AL23" s="192"/>
      <c r="AM23" s="192"/>
      <c r="AN23" s="192"/>
      <c r="AO23" s="192"/>
      <c r="AP23" s="192"/>
      <c r="AQ23" s="192"/>
      <c r="AR23" s="192"/>
      <c r="AS23" s="192"/>
      <c r="AT23" s="192"/>
      <c r="AU23" s="192"/>
      <c r="AV23" s="192"/>
      <c r="AW23" s="192"/>
      <c r="AX23" s="192"/>
      <c r="AY23" s="192"/>
      <c r="AZ23" s="192"/>
      <c r="BA23" s="192"/>
      <c r="BB23" s="192"/>
      <c r="BC23" s="192"/>
      <c r="BD23" s="192"/>
      <c r="BE23" s="192"/>
      <c r="BF23" s="192"/>
      <c r="BG23" s="192"/>
      <c r="BH23" s="192"/>
      <c r="BI23" s="192"/>
      <c r="BJ23" s="192"/>
      <c r="BK23" s="192"/>
      <c r="BL23" s="192"/>
      <c r="BM23" s="192"/>
      <c r="BN23" s="192"/>
      <c r="BO23" s="192"/>
      <c r="BP23" s="192"/>
      <c r="BQ23" s="192"/>
    </row>
    <row r="24" spans="2:216" s="189" customFormat="1" ht="24.95" customHeight="1">
      <c r="B24" s="270" t="str">
        <f>IFERROR((CONCATENATE("Using PIC biological requirement levels will "&amp;B66&amp;" the current growth rate"&amp;IF(C66=0,""," by ")&amp;IF(C66=0,"",FIXED(C66,2))&amp;IF(C66=0,"","%")&amp;IF(AND(C66=0,C67=0)," or"," and ")&amp;IF(AND(C66=0,C67=0),"",B67)&amp;" feed efficiency"&amp;IF(C67=0,""," by ")&amp;IF(C67=0,"",FIXED(C67,2))&amp;IF(C67=0,"","%")&amp;IF(AND(E6="Carcass",E9&lt;76),CONCATENATE(", and "&amp;B68&amp;" carcass yield"&amp;IF(C68=0,""," by ")&amp;IF(C68=0,"",FIXED(C68,2))&amp;IF(C68=0,"","%")),"")&amp;IF(C73=0,".",B73)&amp;IF(C73=0,"",FIXED(C73,2))&amp;IF(C73=0,""," per pig in ")&amp;IF(C73=0,"",G45)&amp;IF(C73=0,""," given the current ingredients and pig prices."))),"")</f>
        <v>Using PIC biological requirement levels will increase the current growth rate by 1.56% and improve feed efficiency by 1.31%, resulting in gains of $0.52 per pig in IOFFC given the current ingredients and pig prices.</v>
      </c>
      <c r="C24" s="271"/>
      <c r="D24" s="271"/>
      <c r="E24" s="271"/>
      <c r="F24" s="271"/>
      <c r="G24" s="271"/>
      <c r="H24" s="271"/>
      <c r="I24" s="271"/>
      <c r="J24" s="272"/>
      <c r="K24" s="190"/>
      <c r="L24" s="191"/>
      <c r="M24" s="191"/>
      <c r="N24" s="121"/>
      <c r="O24" s="121"/>
      <c r="P24" s="121"/>
      <c r="Q24" s="149">
        <f t="shared" si="2"/>
        <v>1.1473712615541329</v>
      </c>
      <c r="R24" s="121"/>
      <c r="S24" s="149">
        <f t="shared" si="3"/>
        <v>1.4915826400203729</v>
      </c>
      <c r="T24" s="150"/>
      <c r="U24" s="133" t="s">
        <v>89</v>
      </c>
      <c r="V24" s="151">
        <f t="shared" si="4"/>
        <v>62.5</v>
      </c>
      <c r="W24" s="151">
        <f t="shared" si="5"/>
        <v>25</v>
      </c>
      <c r="X24" s="73">
        <f t="shared" si="6"/>
        <v>0.27460798769999994</v>
      </c>
      <c r="Y24" s="281" t="s">
        <v>16</v>
      </c>
      <c r="Z24" s="282"/>
      <c r="AA24" s="127"/>
      <c r="AB24" s="121"/>
      <c r="AC24" s="121"/>
      <c r="AD24" s="121"/>
      <c r="AE24" s="120"/>
      <c r="AF24" s="191"/>
      <c r="AG24" s="191"/>
      <c r="AH24" s="192"/>
      <c r="AI24" s="192"/>
      <c r="AJ24" s="192"/>
      <c r="AK24" s="192"/>
      <c r="AL24" s="192"/>
      <c r="AM24" s="192"/>
      <c r="AN24" s="192"/>
      <c r="AO24" s="192"/>
      <c r="AP24" s="192"/>
      <c r="AQ24" s="192"/>
      <c r="AR24" s="192"/>
      <c r="AS24" s="192"/>
      <c r="AT24" s="192"/>
      <c r="AU24" s="192"/>
      <c r="AV24" s="192"/>
      <c r="AW24" s="192"/>
      <c r="AX24" s="192"/>
      <c r="AY24" s="192"/>
      <c r="AZ24" s="192"/>
      <c r="BA24" s="192"/>
      <c r="BB24" s="192"/>
      <c r="BC24" s="192"/>
      <c r="BD24" s="192"/>
      <c r="BE24" s="192"/>
      <c r="BF24" s="192"/>
      <c r="BG24" s="192"/>
      <c r="BH24" s="192"/>
      <c r="BI24" s="192"/>
      <c r="BJ24" s="192"/>
      <c r="BK24" s="192"/>
      <c r="BL24" s="192"/>
      <c r="BM24" s="192"/>
      <c r="BN24" s="192"/>
      <c r="BO24" s="192"/>
      <c r="BP24" s="192"/>
      <c r="BQ24" s="192"/>
    </row>
    <row r="25" spans="2:216" s="189" customFormat="1" ht="24.95" customHeight="1">
      <c r="B25" s="273"/>
      <c r="C25" s="274"/>
      <c r="D25" s="274"/>
      <c r="E25" s="274"/>
      <c r="F25" s="274"/>
      <c r="G25" s="274"/>
      <c r="H25" s="274"/>
      <c r="I25" s="274"/>
      <c r="J25" s="275"/>
      <c r="K25" s="190"/>
      <c r="L25" s="191"/>
      <c r="M25" s="191"/>
      <c r="N25" s="121"/>
      <c r="O25" s="121"/>
      <c r="P25" s="121"/>
      <c r="Q25" s="149">
        <f t="shared" si="2"/>
        <v>1.1632211970615054</v>
      </c>
      <c r="R25" s="121"/>
      <c r="S25" s="149">
        <f t="shared" si="3"/>
        <v>1.5121875561799571</v>
      </c>
      <c r="T25" s="150"/>
      <c r="U25" s="133" t="s">
        <v>13</v>
      </c>
      <c r="V25" s="151">
        <f t="shared" si="4"/>
        <v>82.5</v>
      </c>
      <c r="W25" s="151">
        <f t="shared" si="5"/>
        <v>15</v>
      </c>
      <c r="X25" s="73">
        <f t="shared" si="6"/>
        <v>0.24977002369999995</v>
      </c>
      <c r="Y25" s="152"/>
      <c r="Z25" s="133" t="s">
        <v>3</v>
      </c>
      <c r="AA25" s="127"/>
      <c r="AB25" s="121"/>
      <c r="AC25" s="121"/>
      <c r="AD25" s="121"/>
      <c r="AE25" s="120"/>
      <c r="AF25" s="191"/>
      <c r="AG25" s="191"/>
      <c r="AH25" s="192"/>
      <c r="AI25" s="192"/>
      <c r="AJ25" s="192"/>
      <c r="AK25" s="192"/>
      <c r="AL25" s="192"/>
      <c r="AM25" s="192"/>
      <c r="AN25" s="192"/>
      <c r="AO25" s="192"/>
      <c r="AP25" s="192"/>
      <c r="AQ25" s="192"/>
      <c r="AR25" s="192"/>
      <c r="AS25" s="192"/>
      <c r="AT25" s="192"/>
      <c r="AU25" s="192"/>
      <c r="AV25" s="192"/>
      <c r="AW25" s="192"/>
      <c r="AX25" s="192"/>
      <c r="AY25" s="192"/>
      <c r="AZ25" s="192"/>
      <c r="BA25" s="192"/>
      <c r="BB25" s="192"/>
      <c r="BC25" s="192"/>
      <c r="BD25" s="192"/>
      <c r="BE25" s="192"/>
      <c r="BF25" s="192"/>
      <c r="BG25" s="192"/>
      <c r="BH25" s="192"/>
      <c r="BI25" s="192"/>
      <c r="BJ25" s="192"/>
      <c r="BK25" s="192"/>
      <c r="BL25" s="192"/>
      <c r="BM25" s="192"/>
      <c r="BN25" s="192"/>
      <c r="BO25" s="192"/>
      <c r="BP25" s="192"/>
      <c r="BQ25" s="192"/>
    </row>
    <row r="26" spans="2:216" s="189" customFormat="1" ht="24.95" customHeight="1" thickBot="1">
      <c r="B26" s="276" t="str">
        <f>IFERROR(B75,"")</f>
        <v>In this scenario, it is economical to feed PIC STTD phosphorus biological levels.</v>
      </c>
      <c r="C26" s="277"/>
      <c r="D26" s="277"/>
      <c r="E26" s="277"/>
      <c r="F26" s="277"/>
      <c r="G26" s="277"/>
      <c r="H26" s="277"/>
      <c r="I26" s="277"/>
      <c r="J26" s="278"/>
      <c r="K26" s="190"/>
      <c r="L26" s="191"/>
      <c r="M26" s="191"/>
      <c r="N26" s="121"/>
      <c r="O26" s="121"/>
      <c r="P26" s="121"/>
      <c r="Q26" s="149">
        <f t="shared" si="2"/>
        <v>1.0239433068037569</v>
      </c>
      <c r="R26" s="121"/>
      <c r="S26" s="149">
        <f t="shared" si="3"/>
        <v>1.331126298844884</v>
      </c>
      <c r="T26" s="150"/>
      <c r="U26" s="133" t="s">
        <v>14</v>
      </c>
      <c r="V26" s="151">
        <f t="shared" si="4"/>
        <v>100</v>
      </c>
      <c r="W26" s="151">
        <f t="shared" si="5"/>
        <v>20</v>
      </c>
      <c r="X26" s="73">
        <f t="shared" si="6"/>
        <v>0.22803680519999997</v>
      </c>
      <c r="Y26" s="152" t="s">
        <v>5</v>
      </c>
      <c r="Z26" s="133">
        <f>0.0000472912571538526*(V26*V26) - 0.0143907820290028*V26 + 2.0275145422229</f>
        <v>1.061348910861146</v>
      </c>
      <c r="AA26" s="127"/>
      <c r="AB26" s="121"/>
      <c r="AC26" s="121"/>
      <c r="AD26" s="121"/>
      <c r="AE26" s="120"/>
      <c r="AF26" s="191"/>
      <c r="AG26" s="191"/>
      <c r="AH26" s="192"/>
      <c r="AI26" s="192"/>
      <c r="AJ26" s="192"/>
      <c r="AK26" s="192"/>
      <c r="AL26" s="192"/>
      <c r="AM26" s="192"/>
      <c r="AN26" s="192"/>
      <c r="AO26" s="192"/>
      <c r="AP26" s="192"/>
      <c r="AQ26" s="192"/>
      <c r="AR26" s="192"/>
      <c r="AS26" s="192"/>
      <c r="AT26" s="192"/>
      <c r="AU26" s="192"/>
      <c r="AV26" s="192"/>
      <c r="AW26" s="192"/>
      <c r="AX26" s="192"/>
      <c r="AY26" s="192"/>
      <c r="AZ26" s="192"/>
      <c r="BA26" s="192"/>
      <c r="BB26" s="192"/>
      <c r="BC26" s="192"/>
      <c r="BD26" s="192"/>
      <c r="BE26" s="192"/>
      <c r="BF26" s="192"/>
      <c r="BG26" s="192"/>
      <c r="BH26" s="192"/>
      <c r="BI26" s="192"/>
      <c r="BJ26" s="192"/>
      <c r="BK26" s="192"/>
      <c r="BL26" s="192"/>
      <c r="BM26" s="192"/>
      <c r="BN26" s="192"/>
      <c r="BO26" s="192"/>
      <c r="BP26" s="192"/>
      <c r="BQ26" s="192"/>
    </row>
    <row r="27" spans="2:216" ht="20.100000000000001" customHeight="1" thickBot="1">
      <c r="B27" s="193"/>
      <c r="C27" s="193"/>
      <c r="D27" s="193"/>
      <c r="E27" s="193"/>
      <c r="F27" s="193"/>
      <c r="G27" s="193"/>
      <c r="H27" s="193"/>
      <c r="I27" s="193"/>
      <c r="J27" s="193"/>
      <c r="K27" s="193"/>
      <c r="L27" s="183"/>
      <c r="M27" s="183"/>
      <c r="O27" s="121"/>
      <c r="P27" s="121"/>
      <c r="Q27" s="149">
        <f t="shared" si="2"/>
        <v>1.1593941728735111</v>
      </c>
      <c r="R27" s="121"/>
      <c r="S27" s="149">
        <f t="shared" si="3"/>
        <v>1.5072124247355645</v>
      </c>
      <c r="T27" s="150"/>
      <c r="U27" s="133" t="s">
        <v>15</v>
      </c>
      <c r="V27" s="151">
        <f t="shared" si="4"/>
        <v>120</v>
      </c>
      <c r="W27" s="151">
        <f t="shared" si="5"/>
        <v>20</v>
      </c>
      <c r="X27" s="73">
        <f t="shared" si="6"/>
        <v>0.20319884119999998</v>
      </c>
      <c r="Y27" s="121"/>
      <c r="Z27" s="121"/>
      <c r="AA27" s="127"/>
      <c r="AB27" s="121"/>
      <c r="AC27" s="121"/>
      <c r="AD27" s="121"/>
      <c r="AF27" s="183"/>
      <c r="AG27" s="183"/>
      <c r="BR27" s="120"/>
      <c r="BS27" s="120"/>
      <c r="BT27" s="120"/>
      <c r="BU27" s="120"/>
      <c r="BV27" s="120"/>
      <c r="BW27" s="120"/>
      <c r="BX27" s="120"/>
      <c r="BY27" s="120"/>
      <c r="BZ27" s="120"/>
      <c r="CA27" s="120"/>
      <c r="CB27" s="120"/>
      <c r="CC27" s="120"/>
      <c r="CD27" s="120"/>
      <c r="CE27" s="120"/>
      <c r="CF27" s="120"/>
      <c r="CG27" s="120"/>
      <c r="CH27" s="120"/>
      <c r="CI27" s="120"/>
      <c r="CJ27" s="120"/>
      <c r="CK27" s="120"/>
      <c r="CL27" s="120"/>
      <c r="CM27" s="120"/>
      <c r="CN27" s="120"/>
      <c r="CO27" s="120"/>
      <c r="CP27" s="120"/>
      <c r="CQ27" s="120"/>
      <c r="CR27" s="120"/>
      <c r="CS27" s="120"/>
      <c r="CT27" s="120"/>
      <c r="CU27" s="120"/>
      <c r="CV27" s="120"/>
      <c r="CW27" s="120"/>
      <c r="CX27" s="120"/>
      <c r="CY27" s="120"/>
      <c r="CZ27" s="120"/>
      <c r="DA27" s="120"/>
      <c r="DB27" s="120"/>
      <c r="DC27" s="120"/>
      <c r="DD27" s="120"/>
      <c r="DE27" s="120"/>
      <c r="DF27" s="120"/>
      <c r="DG27" s="120"/>
      <c r="DH27" s="120"/>
      <c r="DI27" s="120"/>
      <c r="DJ27" s="120"/>
      <c r="DK27" s="120"/>
      <c r="DL27" s="120"/>
      <c r="DM27" s="120"/>
      <c r="DN27" s="120"/>
      <c r="DO27" s="120"/>
      <c r="DP27" s="120"/>
      <c r="DQ27" s="120"/>
      <c r="DR27" s="120"/>
      <c r="DS27" s="120"/>
      <c r="DT27" s="120"/>
      <c r="DU27" s="120"/>
      <c r="DV27" s="120"/>
      <c r="DW27" s="120"/>
      <c r="DX27" s="120"/>
      <c r="DY27" s="120"/>
      <c r="DZ27" s="120"/>
      <c r="EA27" s="120"/>
      <c r="EB27" s="120"/>
      <c r="EC27" s="120"/>
      <c r="ED27" s="120"/>
      <c r="EE27" s="120"/>
      <c r="EF27" s="120"/>
      <c r="EG27" s="120"/>
      <c r="EH27" s="120"/>
      <c r="EI27" s="120"/>
      <c r="EJ27" s="120"/>
      <c r="EK27" s="120"/>
      <c r="EL27" s="120"/>
      <c r="EM27" s="120"/>
      <c r="EN27" s="120"/>
      <c r="EO27" s="120"/>
      <c r="EP27" s="120"/>
      <c r="EQ27" s="120"/>
      <c r="ER27" s="120"/>
      <c r="ES27" s="120"/>
      <c r="ET27" s="120"/>
      <c r="EU27" s="120"/>
      <c r="EV27" s="120"/>
      <c r="EW27" s="120"/>
      <c r="EX27" s="120"/>
      <c r="EY27" s="120"/>
      <c r="EZ27" s="120"/>
      <c r="FA27" s="120"/>
      <c r="FB27" s="120"/>
      <c r="FC27" s="120"/>
      <c r="FD27" s="120"/>
      <c r="FE27" s="120"/>
      <c r="FF27" s="120"/>
      <c r="FG27" s="120"/>
      <c r="FH27" s="120"/>
      <c r="FI27" s="120"/>
      <c r="FJ27" s="120"/>
      <c r="FK27" s="120"/>
      <c r="FL27" s="120"/>
      <c r="FM27" s="120"/>
      <c r="FN27" s="120"/>
      <c r="FO27" s="120"/>
      <c r="FP27" s="120"/>
      <c r="FQ27" s="120"/>
      <c r="FR27" s="120"/>
      <c r="FS27" s="120"/>
      <c r="FT27" s="120"/>
      <c r="FU27" s="120"/>
      <c r="FV27" s="120"/>
      <c r="FW27" s="120"/>
      <c r="FX27" s="120"/>
      <c r="FY27" s="120"/>
      <c r="FZ27" s="120"/>
      <c r="GA27" s="120"/>
      <c r="GB27" s="120"/>
      <c r="GC27" s="120"/>
      <c r="GD27" s="120"/>
      <c r="GE27" s="120"/>
      <c r="GF27" s="120"/>
      <c r="GG27" s="120"/>
      <c r="GH27" s="120"/>
      <c r="GI27" s="120"/>
      <c r="GJ27" s="120"/>
      <c r="GK27" s="120"/>
      <c r="GL27" s="120"/>
      <c r="GM27" s="120"/>
      <c r="GN27" s="120"/>
      <c r="GO27" s="120"/>
      <c r="GP27" s="120"/>
      <c r="GQ27" s="120"/>
      <c r="GR27" s="120"/>
      <c r="GS27" s="120"/>
      <c r="GT27" s="120"/>
      <c r="GU27" s="120"/>
      <c r="GV27" s="120"/>
      <c r="GW27" s="120"/>
      <c r="GX27" s="120"/>
      <c r="GY27" s="120"/>
      <c r="GZ27" s="120"/>
      <c r="HA27" s="120"/>
      <c r="HB27" s="120"/>
      <c r="HC27" s="120"/>
      <c r="HD27" s="120"/>
      <c r="HE27" s="120"/>
      <c r="HF27" s="120"/>
      <c r="HG27" s="120"/>
      <c r="HH27" s="120"/>
    </row>
    <row r="28" spans="2:216" s="189" customFormat="1" ht="24.95" customHeight="1" thickBot="1">
      <c r="B28" s="267" t="s">
        <v>225</v>
      </c>
      <c r="C28" s="268"/>
      <c r="D28" s="268"/>
      <c r="E28" s="268"/>
      <c r="F28" s="268"/>
      <c r="G28" s="268"/>
      <c r="H28" s="268"/>
      <c r="I28" s="268"/>
      <c r="J28" s="269"/>
      <c r="K28" s="190"/>
      <c r="L28" s="191"/>
      <c r="M28" s="191"/>
      <c r="N28" s="121"/>
      <c r="O28" s="121"/>
      <c r="P28" s="121"/>
      <c r="Q28" s="149" t="str">
        <f t="shared" si="2"/>
        <v/>
      </c>
      <c r="R28" s="121"/>
      <c r="S28" s="149" t="str">
        <f t="shared" si="3"/>
        <v/>
      </c>
      <c r="T28" s="150"/>
      <c r="U28" s="133" t="s">
        <v>175</v>
      </c>
      <c r="V28" s="151" t="str">
        <f t="shared" si="4"/>
        <v/>
      </c>
      <c r="W28" s="151" t="e">
        <f t="shared" si="5"/>
        <v>#VALUE!</v>
      </c>
      <c r="X28" s="73" t="e">
        <f t="shared" si="6"/>
        <v>#VALUE!</v>
      </c>
      <c r="Y28" s="281" t="s">
        <v>18</v>
      </c>
      <c r="Z28" s="282"/>
      <c r="AA28" s="127"/>
      <c r="AB28" s="121"/>
      <c r="AC28" s="121"/>
      <c r="AD28" s="121"/>
      <c r="AE28" s="120"/>
      <c r="AF28" s="191"/>
      <c r="AG28" s="191"/>
      <c r="AH28" s="192"/>
      <c r="AI28" s="192"/>
      <c r="AJ28" s="192"/>
      <c r="AK28" s="192"/>
      <c r="AL28" s="192"/>
      <c r="AM28" s="192"/>
      <c r="AN28" s="192"/>
      <c r="AO28" s="192"/>
      <c r="AP28" s="192"/>
      <c r="AQ28" s="192"/>
      <c r="AR28" s="192"/>
      <c r="AS28" s="192"/>
      <c r="AT28" s="192"/>
      <c r="AU28" s="192"/>
      <c r="AV28" s="192"/>
      <c r="AW28" s="192"/>
      <c r="AX28" s="192"/>
      <c r="AY28" s="192"/>
      <c r="AZ28" s="192"/>
      <c r="BA28" s="192"/>
      <c r="BB28" s="192"/>
      <c r="BC28" s="192"/>
      <c r="BD28" s="192"/>
      <c r="BE28" s="192"/>
      <c r="BF28" s="192"/>
      <c r="BG28" s="192"/>
      <c r="BH28" s="192"/>
      <c r="BI28" s="192"/>
      <c r="BJ28" s="192"/>
      <c r="BK28" s="192"/>
      <c r="BL28" s="192"/>
      <c r="BM28" s="192"/>
      <c r="BN28" s="192"/>
      <c r="BO28" s="192"/>
      <c r="BP28" s="192"/>
      <c r="BQ28" s="192"/>
    </row>
    <row r="29" spans="2:216" s="189" customFormat="1" ht="24.95" customHeight="1">
      <c r="B29" s="270" t="str">
        <f>IFERROR((CONCATENATE("Using PIC biological requirement levels will "&amp;B70&amp;" the current growth rate"&amp;IF(C70=0,""," by ")&amp;IF(C70=0,"",FIXED(C70,2))&amp;IF(C70=0,"","%")&amp;IF(AND(C70=0,C71=0)," or"," and ")&amp;IF(AND(C70=0,C71=0),"",B71)&amp;" feed efficiency"&amp;IF(C71=0,""," by ")&amp;IF(C71=0,"",FIXED(C71,2))&amp;IF(C71=0,"","%")&amp;IF(AND(E6="Carcass",E9&lt;76),CONCATENATE(", and "&amp;B72&amp;" carcass yield"&amp;IF(C72=0,""," by ")&amp;IF(C72=0,"",FIXED(C72,2))&amp;IF(C72=0,"","%")),"")&amp;IF(C74=0,".",B74)&amp;IF(C74=0,"",FIXED(C74,2))&amp;IF(C74=0,""," per pig in ")&amp;IF(C74=0,"",G47)&amp;IF(C74=0,""," given the current ingredients and pig prices."))),"")</f>
        <v>Using PIC biological requirement levels will increase the current growth rate by 1.57% and improve feed efficiency by 1.31%, resulting in gains of $0.95 per pig in IOFC given the current ingredients and pig prices.</v>
      </c>
      <c r="C29" s="271"/>
      <c r="D29" s="271"/>
      <c r="E29" s="271"/>
      <c r="F29" s="271"/>
      <c r="G29" s="271"/>
      <c r="H29" s="271"/>
      <c r="I29" s="271"/>
      <c r="J29" s="272"/>
      <c r="K29" s="190"/>
      <c r="L29" s="191"/>
      <c r="M29" s="191"/>
      <c r="N29" s="183"/>
      <c r="O29" s="121"/>
      <c r="P29" s="121"/>
      <c r="Q29" s="150"/>
      <c r="R29" s="121"/>
      <c r="S29" s="150"/>
      <c r="T29" s="150"/>
      <c r="U29" s="127"/>
      <c r="V29" s="151"/>
      <c r="W29" s="151"/>
      <c r="X29" s="108"/>
      <c r="Y29" s="235"/>
      <c r="Z29" s="236"/>
      <c r="AA29" s="127"/>
      <c r="AB29" s="121"/>
      <c r="AC29" s="121"/>
      <c r="AD29" s="183"/>
      <c r="AE29" s="120"/>
      <c r="AF29" s="191"/>
      <c r="AG29" s="191"/>
      <c r="AH29" s="192"/>
      <c r="AI29" s="192"/>
      <c r="AJ29" s="192"/>
      <c r="AK29" s="192"/>
      <c r="AL29" s="192"/>
      <c r="AM29" s="192"/>
      <c r="AN29" s="192"/>
      <c r="AO29" s="192"/>
      <c r="AP29" s="192"/>
      <c r="AQ29" s="192"/>
      <c r="AR29" s="192"/>
      <c r="AS29" s="192"/>
      <c r="AT29" s="192"/>
      <c r="AU29" s="192"/>
      <c r="AV29" s="192"/>
      <c r="AW29" s="192"/>
      <c r="AX29" s="192"/>
      <c r="AY29" s="192"/>
      <c r="AZ29" s="192"/>
      <c r="BA29" s="192"/>
      <c r="BB29" s="192"/>
      <c r="BC29" s="192"/>
      <c r="BD29" s="192"/>
      <c r="BE29" s="192"/>
      <c r="BF29" s="192"/>
      <c r="BG29" s="192"/>
      <c r="BH29" s="192"/>
      <c r="BI29" s="192"/>
      <c r="BJ29" s="192"/>
      <c r="BK29" s="192"/>
      <c r="BL29" s="192"/>
      <c r="BM29" s="192"/>
      <c r="BN29" s="192"/>
      <c r="BO29" s="192"/>
      <c r="BP29" s="192"/>
      <c r="BQ29" s="192"/>
    </row>
    <row r="30" spans="2:216" s="189" customFormat="1" ht="24.95" customHeight="1">
      <c r="B30" s="273"/>
      <c r="C30" s="274"/>
      <c r="D30" s="274"/>
      <c r="E30" s="274"/>
      <c r="F30" s="274"/>
      <c r="G30" s="274"/>
      <c r="H30" s="274"/>
      <c r="I30" s="274"/>
      <c r="J30" s="275"/>
      <c r="K30" s="190"/>
      <c r="L30" s="191"/>
      <c r="M30" s="191"/>
      <c r="N30" s="183"/>
      <c r="O30" s="121"/>
      <c r="P30" s="121"/>
      <c r="Q30" s="150"/>
      <c r="R30" s="121"/>
      <c r="S30" s="150"/>
      <c r="T30" s="150"/>
      <c r="U30" s="127"/>
      <c r="V30" s="151"/>
      <c r="W30" s="151"/>
      <c r="X30" s="108"/>
      <c r="Y30" s="235"/>
      <c r="Z30" s="236"/>
      <c r="AA30" s="127"/>
      <c r="AB30" s="121"/>
      <c r="AC30" s="121"/>
      <c r="AD30" s="183"/>
      <c r="AE30" s="120"/>
      <c r="AF30" s="191"/>
      <c r="AG30" s="191"/>
      <c r="AH30" s="192"/>
      <c r="AI30" s="192"/>
      <c r="AJ30" s="192"/>
      <c r="AK30" s="192"/>
      <c r="AL30" s="192"/>
      <c r="AM30" s="192"/>
      <c r="AN30" s="192"/>
      <c r="AO30" s="192"/>
      <c r="AP30" s="192"/>
      <c r="AQ30" s="192"/>
      <c r="AR30" s="192"/>
      <c r="AS30" s="192"/>
      <c r="AT30" s="192"/>
      <c r="AU30" s="192"/>
      <c r="AV30" s="192"/>
      <c r="AW30" s="192"/>
      <c r="AX30" s="192"/>
      <c r="AY30" s="192"/>
      <c r="AZ30" s="192"/>
      <c r="BA30" s="192"/>
      <c r="BB30" s="192"/>
      <c r="BC30" s="192"/>
      <c r="BD30" s="192"/>
      <c r="BE30" s="192"/>
      <c r="BF30" s="192"/>
      <c r="BG30" s="192"/>
      <c r="BH30" s="192"/>
      <c r="BI30" s="192"/>
      <c r="BJ30" s="192"/>
      <c r="BK30" s="192"/>
      <c r="BL30" s="192"/>
      <c r="BM30" s="192"/>
      <c r="BN30" s="192"/>
      <c r="BO30" s="192"/>
      <c r="BP30" s="192"/>
      <c r="BQ30" s="192"/>
    </row>
    <row r="31" spans="2:216" s="189" customFormat="1" ht="24.95" customHeight="1" thickBot="1">
      <c r="B31" s="276" t="str">
        <f>IFERROR(B76,"")</f>
        <v>In this scenario, it is economical to feed PIC STTD phosphorus biological levels.</v>
      </c>
      <c r="C31" s="277"/>
      <c r="D31" s="277"/>
      <c r="E31" s="277"/>
      <c r="F31" s="277"/>
      <c r="G31" s="277"/>
      <c r="H31" s="277"/>
      <c r="I31" s="277"/>
      <c r="J31" s="278"/>
      <c r="K31" s="190"/>
      <c r="L31" s="191"/>
      <c r="M31" s="191"/>
      <c r="N31" s="183"/>
      <c r="O31" s="121"/>
      <c r="P31" s="121"/>
      <c r="Q31" s="150"/>
      <c r="R31" s="121"/>
      <c r="S31" s="150"/>
      <c r="T31" s="150"/>
      <c r="U31" s="127"/>
      <c r="V31" s="151"/>
      <c r="W31" s="151"/>
      <c r="X31" s="108"/>
      <c r="Y31" s="235"/>
      <c r="Z31" s="236"/>
      <c r="AA31" s="127"/>
      <c r="AB31" s="121"/>
      <c r="AC31" s="121"/>
      <c r="AD31" s="183"/>
      <c r="AE31" s="120"/>
      <c r="AF31" s="191"/>
      <c r="AG31" s="191"/>
      <c r="AH31" s="192"/>
      <c r="AI31" s="192"/>
      <c r="AJ31" s="192"/>
      <c r="AK31" s="192"/>
      <c r="AL31" s="192"/>
      <c r="AM31" s="192"/>
      <c r="AN31" s="192"/>
      <c r="AO31" s="192"/>
      <c r="AP31" s="192"/>
      <c r="AQ31" s="192"/>
      <c r="AR31" s="192"/>
      <c r="AS31" s="192"/>
      <c r="AT31" s="192"/>
      <c r="AU31" s="192"/>
      <c r="AV31" s="192"/>
      <c r="AW31" s="192"/>
      <c r="AX31" s="192"/>
      <c r="AY31" s="192"/>
      <c r="AZ31" s="192"/>
      <c r="BA31" s="192"/>
      <c r="BB31" s="192"/>
      <c r="BC31" s="192"/>
      <c r="BD31" s="192"/>
      <c r="BE31" s="192"/>
      <c r="BF31" s="192"/>
      <c r="BG31" s="192"/>
      <c r="BH31" s="192"/>
      <c r="BI31" s="192"/>
      <c r="BJ31" s="192"/>
      <c r="BK31" s="192"/>
      <c r="BL31" s="192"/>
      <c r="BM31" s="192"/>
      <c r="BN31" s="192"/>
      <c r="BO31" s="192"/>
      <c r="BP31" s="192"/>
      <c r="BQ31" s="192"/>
    </row>
    <row r="32" spans="2:216" ht="20.100000000000001" customHeight="1">
      <c r="B32" s="193"/>
      <c r="C32" s="193"/>
      <c r="D32" s="193"/>
      <c r="E32" s="193"/>
      <c r="F32" s="193"/>
      <c r="G32" s="193"/>
      <c r="H32" s="193"/>
      <c r="I32" s="193"/>
      <c r="J32" s="193"/>
      <c r="K32" s="193"/>
      <c r="L32" s="183"/>
      <c r="M32" s="183"/>
      <c r="N32" s="183"/>
      <c r="O32" s="121"/>
      <c r="P32" s="121"/>
      <c r="Q32" s="150"/>
      <c r="R32" s="121"/>
      <c r="S32" s="150"/>
      <c r="T32" s="150"/>
      <c r="U32" s="127"/>
      <c r="V32" s="151"/>
      <c r="W32" s="151"/>
      <c r="X32" s="108"/>
      <c r="Y32" s="235"/>
      <c r="Z32" s="236"/>
      <c r="AA32" s="127"/>
      <c r="AB32" s="121"/>
      <c r="AC32" s="121"/>
      <c r="AD32" s="183"/>
      <c r="AF32" s="183"/>
      <c r="AG32" s="183"/>
      <c r="BR32" s="120"/>
      <c r="BS32" s="120"/>
      <c r="BT32" s="120"/>
      <c r="BU32" s="120"/>
      <c r="BV32" s="120"/>
      <c r="BW32" s="120"/>
      <c r="BX32" s="120"/>
      <c r="BY32" s="120"/>
      <c r="BZ32" s="120"/>
      <c r="CA32" s="120"/>
      <c r="CB32" s="120"/>
      <c r="CC32" s="120"/>
      <c r="CD32" s="120"/>
      <c r="CE32" s="120"/>
      <c r="CF32" s="120"/>
      <c r="CG32" s="120"/>
      <c r="CH32" s="120"/>
      <c r="CI32" s="120"/>
      <c r="CJ32" s="120"/>
      <c r="CK32" s="120"/>
      <c r="CL32" s="120"/>
      <c r="CM32" s="120"/>
      <c r="CN32" s="120"/>
      <c r="CO32" s="120"/>
      <c r="CP32" s="120"/>
      <c r="CQ32" s="120"/>
      <c r="CR32" s="120"/>
      <c r="CS32" s="120"/>
      <c r="CT32" s="120"/>
      <c r="CU32" s="120"/>
      <c r="CV32" s="120"/>
      <c r="CW32" s="120"/>
      <c r="CX32" s="120"/>
      <c r="CY32" s="120"/>
      <c r="CZ32" s="120"/>
      <c r="DA32" s="120"/>
      <c r="DB32" s="120"/>
      <c r="DC32" s="120"/>
      <c r="DD32" s="120"/>
      <c r="DE32" s="120"/>
      <c r="DF32" s="120"/>
      <c r="DG32" s="120"/>
      <c r="DH32" s="120"/>
      <c r="DI32" s="120"/>
      <c r="DJ32" s="120"/>
      <c r="DK32" s="120"/>
      <c r="DL32" s="120"/>
      <c r="DM32" s="120"/>
      <c r="DN32" s="120"/>
      <c r="DO32" s="120"/>
      <c r="DP32" s="120"/>
      <c r="DQ32" s="120"/>
      <c r="DR32" s="120"/>
      <c r="DS32" s="120"/>
      <c r="DT32" s="120"/>
      <c r="DU32" s="120"/>
      <c r="DV32" s="120"/>
      <c r="DW32" s="120"/>
      <c r="DX32" s="120"/>
      <c r="DY32" s="120"/>
      <c r="DZ32" s="120"/>
      <c r="EA32" s="120"/>
      <c r="EB32" s="120"/>
      <c r="EC32" s="120"/>
      <c r="ED32" s="120"/>
      <c r="EE32" s="120"/>
      <c r="EF32" s="120"/>
      <c r="EG32" s="120"/>
      <c r="EH32" s="120"/>
      <c r="EI32" s="120"/>
      <c r="EJ32" s="120"/>
      <c r="EK32" s="120"/>
      <c r="EL32" s="120"/>
      <c r="EM32" s="120"/>
      <c r="EN32" s="120"/>
      <c r="EO32" s="120"/>
      <c r="EP32" s="120"/>
      <c r="EQ32" s="120"/>
      <c r="ER32" s="120"/>
      <c r="ES32" s="120"/>
      <c r="ET32" s="120"/>
      <c r="EU32" s="120"/>
      <c r="EV32" s="120"/>
      <c r="EW32" s="120"/>
      <c r="EX32" s="120"/>
      <c r="EY32" s="120"/>
      <c r="EZ32" s="120"/>
      <c r="FA32" s="120"/>
      <c r="FB32" s="120"/>
      <c r="FC32" s="120"/>
      <c r="FD32" s="120"/>
      <c r="FE32" s="120"/>
      <c r="FF32" s="120"/>
      <c r="FG32" s="120"/>
      <c r="FH32" s="120"/>
      <c r="FI32" s="120"/>
      <c r="FJ32" s="120"/>
      <c r="FK32" s="120"/>
      <c r="FL32" s="120"/>
      <c r="FM32" s="120"/>
      <c r="FN32" s="120"/>
      <c r="FO32" s="120"/>
      <c r="FP32" s="120"/>
      <c r="FQ32" s="120"/>
      <c r="FR32" s="120"/>
      <c r="FS32" s="120"/>
      <c r="FT32" s="120"/>
      <c r="FU32" s="120"/>
      <c r="FV32" s="120"/>
      <c r="FW32" s="120"/>
      <c r="FX32" s="120"/>
      <c r="FY32" s="120"/>
      <c r="FZ32" s="120"/>
      <c r="GA32" s="120"/>
      <c r="GB32" s="120"/>
      <c r="GC32" s="120"/>
      <c r="GD32" s="120"/>
      <c r="GE32" s="120"/>
      <c r="GF32" s="120"/>
      <c r="GG32" s="120"/>
      <c r="GH32" s="120"/>
      <c r="GI32" s="120"/>
      <c r="GJ32" s="120"/>
      <c r="GK32" s="120"/>
      <c r="GL32" s="120"/>
      <c r="GM32" s="120"/>
      <c r="GN32" s="120"/>
      <c r="GO32" s="120"/>
      <c r="GP32" s="120"/>
      <c r="GQ32" s="120"/>
      <c r="GR32" s="120"/>
      <c r="GS32" s="120"/>
      <c r="GT32" s="120"/>
      <c r="GU32" s="120"/>
      <c r="GV32" s="120"/>
      <c r="GW32" s="120"/>
      <c r="GX32" s="120"/>
      <c r="GY32" s="120"/>
      <c r="GZ32" s="120"/>
      <c r="HA32" s="120"/>
      <c r="HB32" s="120"/>
      <c r="HC32" s="120"/>
      <c r="HD32" s="120"/>
      <c r="HE32" s="120"/>
      <c r="HF32" s="120"/>
      <c r="HG32" s="120"/>
      <c r="HH32" s="120"/>
    </row>
    <row r="33" spans="2:216" ht="20.100000000000001" customHeight="1">
      <c r="B33" s="284" t="s">
        <v>218</v>
      </c>
      <c r="C33" s="286" t="s">
        <v>226</v>
      </c>
      <c r="D33" s="286"/>
      <c r="E33" s="286"/>
      <c r="F33" s="286"/>
      <c r="G33" s="286"/>
      <c r="H33" s="286"/>
      <c r="I33" s="286"/>
      <c r="J33" s="286"/>
      <c r="K33" s="121"/>
      <c r="L33" s="121"/>
      <c r="N33" s="183"/>
      <c r="O33" s="121"/>
      <c r="P33" s="121"/>
      <c r="Q33" s="150"/>
      <c r="R33" s="121"/>
      <c r="S33" s="150"/>
      <c r="T33" s="150"/>
      <c r="U33" s="127"/>
      <c r="V33" s="151"/>
      <c r="W33" s="151"/>
      <c r="X33" s="108"/>
      <c r="Y33" s="235"/>
      <c r="Z33" s="236"/>
      <c r="AA33" s="127"/>
      <c r="AB33" s="121"/>
      <c r="AC33" s="121"/>
      <c r="AD33" s="183"/>
      <c r="AF33" s="121"/>
      <c r="BR33" s="120"/>
      <c r="BS33" s="120"/>
      <c r="BT33" s="120"/>
      <c r="BU33" s="120"/>
      <c r="BV33" s="120"/>
      <c r="BW33" s="120"/>
      <c r="BX33" s="120"/>
      <c r="BY33" s="120"/>
      <c r="BZ33" s="120"/>
      <c r="CA33" s="120"/>
      <c r="CB33" s="120"/>
      <c r="CC33" s="120"/>
      <c r="CD33" s="120"/>
      <c r="CE33" s="120"/>
      <c r="CF33" s="120"/>
      <c r="CG33" s="120"/>
      <c r="CH33" s="120"/>
      <c r="CI33" s="120"/>
      <c r="CJ33" s="120"/>
      <c r="CK33" s="120"/>
      <c r="CL33" s="120"/>
      <c r="CM33" s="120"/>
      <c r="CN33" s="120"/>
      <c r="CO33" s="120"/>
      <c r="CP33" s="120"/>
      <c r="CQ33" s="120"/>
      <c r="CR33" s="120"/>
      <c r="CS33" s="120"/>
      <c r="CT33" s="120"/>
      <c r="CU33" s="120"/>
      <c r="CV33" s="120"/>
      <c r="CW33" s="120"/>
      <c r="CX33" s="120"/>
      <c r="CY33" s="120"/>
      <c r="CZ33" s="120"/>
      <c r="DA33" s="120"/>
      <c r="DB33" s="120"/>
      <c r="DC33" s="120"/>
      <c r="DD33" s="120"/>
      <c r="DE33" s="120"/>
      <c r="DF33" s="120"/>
      <c r="DG33" s="120"/>
      <c r="DH33" s="120"/>
      <c r="DI33" s="120"/>
      <c r="DJ33" s="120"/>
      <c r="DK33" s="120"/>
      <c r="DL33" s="120"/>
      <c r="DM33" s="120"/>
      <c r="DN33" s="120"/>
      <c r="DO33" s="120"/>
      <c r="DP33" s="120"/>
      <c r="DQ33" s="120"/>
      <c r="DR33" s="120"/>
      <c r="DS33" s="120"/>
      <c r="DT33" s="120"/>
      <c r="DU33" s="120"/>
      <c r="DV33" s="120"/>
      <c r="DW33" s="120"/>
      <c r="DX33" s="120"/>
      <c r="DY33" s="120"/>
      <c r="DZ33" s="120"/>
      <c r="EA33" s="120"/>
      <c r="EB33" s="120"/>
      <c r="EC33" s="120"/>
      <c r="ED33" s="120"/>
      <c r="EE33" s="120"/>
      <c r="EF33" s="120"/>
      <c r="EG33" s="120"/>
      <c r="EH33" s="120"/>
      <c r="EI33" s="120"/>
      <c r="EJ33" s="120"/>
      <c r="EK33" s="120"/>
      <c r="EL33" s="120"/>
      <c r="EM33" s="120"/>
      <c r="EN33" s="120"/>
      <c r="EO33" s="120"/>
      <c r="EP33" s="120"/>
      <c r="EQ33" s="120"/>
      <c r="ER33" s="120"/>
      <c r="ES33" s="120"/>
      <c r="ET33" s="120"/>
      <c r="EU33" s="120"/>
      <c r="EV33" s="120"/>
      <c r="EW33" s="120"/>
      <c r="EX33" s="120"/>
      <c r="EY33" s="120"/>
      <c r="EZ33" s="120"/>
      <c r="FA33" s="120"/>
      <c r="FB33" s="120"/>
      <c r="FC33" s="120"/>
      <c r="FD33" s="120"/>
      <c r="FE33" s="120"/>
      <c r="FF33" s="120"/>
      <c r="FG33" s="120"/>
      <c r="FH33" s="120"/>
      <c r="FI33" s="120"/>
      <c r="FJ33" s="120"/>
      <c r="FK33" s="120"/>
      <c r="FL33" s="120"/>
      <c r="FM33" s="120"/>
      <c r="FN33" s="120"/>
      <c r="FO33" s="120"/>
      <c r="FP33" s="120"/>
      <c r="FQ33" s="120"/>
      <c r="FR33" s="120"/>
      <c r="FS33" s="120"/>
      <c r="FT33" s="120"/>
      <c r="FU33" s="120"/>
      <c r="FV33" s="120"/>
      <c r="FW33" s="120"/>
      <c r="FX33" s="120"/>
      <c r="FY33" s="120"/>
      <c r="FZ33" s="120"/>
      <c r="GA33" s="120"/>
      <c r="GB33" s="120"/>
      <c r="GC33" s="120"/>
      <c r="GD33" s="120"/>
      <c r="GE33" s="120"/>
      <c r="GF33" s="120"/>
      <c r="GG33" s="120"/>
      <c r="GH33" s="120"/>
      <c r="GI33" s="120"/>
      <c r="GJ33" s="120"/>
      <c r="GK33" s="120"/>
      <c r="GL33" s="120"/>
      <c r="GM33" s="120"/>
      <c r="GN33" s="120"/>
      <c r="GO33" s="120"/>
      <c r="GP33" s="120"/>
      <c r="GQ33" s="120"/>
      <c r="GR33" s="120"/>
      <c r="GS33" s="120"/>
      <c r="GT33" s="120"/>
      <c r="GU33" s="120"/>
      <c r="GV33" s="120"/>
      <c r="GW33" s="120"/>
      <c r="GX33" s="120"/>
      <c r="GY33" s="120"/>
      <c r="GZ33" s="120"/>
      <c r="HA33" s="120"/>
      <c r="HB33" s="120"/>
      <c r="HC33" s="120"/>
      <c r="HD33" s="120"/>
      <c r="HE33" s="120"/>
      <c r="HF33" s="120"/>
      <c r="HG33" s="120"/>
      <c r="HH33" s="120"/>
    </row>
    <row r="34" spans="2:216" ht="20.100000000000001" customHeight="1">
      <c r="B34" s="285"/>
      <c r="C34" s="286"/>
      <c r="D34" s="286"/>
      <c r="E34" s="286"/>
      <c r="F34" s="286"/>
      <c r="G34" s="286"/>
      <c r="H34" s="286"/>
      <c r="I34" s="286"/>
      <c r="J34" s="286"/>
      <c r="K34" s="121"/>
      <c r="L34" s="121"/>
      <c r="N34" s="183"/>
      <c r="O34" s="121"/>
      <c r="P34" s="121"/>
      <c r="Q34" s="150"/>
      <c r="R34" s="121"/>
      <c r="S34" s="150"/>
      <c r="T34" s="150"/>
      <c r="U34" s="127"/>
      <c r="V34" s="151"/>
      <c r="W34" s="151"/>
      <c r="X34" s="108"/>
      <c r="Y34" s="235"/>
      <c r="Z34" s="236"/>
      <c r="AA34" s="127"/>
      <c r="AB34" s="121"/>
      <c r="AC34" s="121"/>
      <c r="AD34" s="183"/>
      <c r="AF34" s="121"/>
      <c r="BR34" s="120"/>
      <c r="BS34" s="120"/>
      <c r="BT34" s="120"/>
      <c r="BU34" s="120"/>
      <c r="BV34" s="120"/>
      <c r="BW34" s="120"/>
      <c r="BX34" s="120"/>
      <c r="BY34" s="120"/>
      <c r="BZ34" s="120"/>
      <c r="CA34" s="120"/>
      <c r="CB34" s="120"/>
      <c r="CC34" s="120"/>
      <c r="CD34" s="120"/>
      <c r="CE34" s="120"/>
      <c r="CF34" s="120"/>
      <c r="CG34" s="120"/>
      <c r="CH34" s="120"/>
      <c r="CI34" s="120"/>
      <c r="CJ34" s="120"/>
      <c r="CK34" s="120"/>
      <c r="CL34" s="120"/>
      <c r="CM34" s="120"/>
      <c r="CN34" s="120"/>
      <c r="CO34" s="120"/>
      <c r="CP34" s="120"/>
      <c r="CQ34" s="120"/>
      <c r="CR34" s="120"/>
      <c r="CS34" s="120"/>
      <c r="CT34" s="120"/>
      <c r="CU34" s="120"/>
      <c r="CV34" s="120"/>
      <c r="CW34" s="120"/>
      <c r="CX34" s="120"/>
      <c r="CY34" s="120"/>
      <c r="CZ34" s="120"/>
      <c r="DA34" s="120"/>
      <c r="DB34" s="120"/>
      <c r="DC34" s="120"/>
      <c r="DD34" s="120"/>
      <c r="DE34" s="120"/>
      <c r="DF34" s="120"/>
      <c r="DG34" s="120"/>
      <c r="DH34" s="120"/>
      <c r="DI34" s="120"/>
      <c r="DJ34" s="120"/>
      <c r="DK34" s="120"/>
      <c r="DL34" s="120"/>
      <c r="DM34" s="120"/>
      <c r="DN34" s="120"/>
      <c r="DO34" s="120"/>
      <c r="DP34" s="120"/>
      <c r="DQ34" s="120"/>
      <c r="DR34" s="120"/>
      <c r="DS34" s="120"/>
      <c r="DT34" s="120"/>
      <c r="DU34" s="120"/>
      <c r="DV34" s="120"/>
      <c r="DW34" s="120"/>
      <c r="DX34" s="120"/>
      <c r="DY34" s="120"/>
      <c r="DZ34" s="120"/>
      <c r="EA34" s="120"/>
      <c r="EB34" s="120"/>
      <c r="EC34" s="120"/>
      <c r="ED34" s="120"/>
      <c r="EE34" s="120"/>
      <c r="EF34" s="120"/>
      <c r="EG34" s="120"/>
      <c r="EH34" s="120"/>
      <c r="EI34" s="120"/>
      <c r="EJ34" s="120"/>
      <c r="EK34" s="120"/>
      <c r="EL34" s="120"/>
      <c r="EM34" s="120"/>
      <c r="EN34" s="120"/>
      <c r="EO34" s="120"/>
      <c r="EP34" s="120"/>
      <c r="EQ34" s="120"/>
      <c r="ER34" s="120"/>
      <c r="ES34" s="120"/>
      <c r="ET34" s="120"/>
      <c r="EU34" s="120"/>
      <c r="EV34" s="120"/>
      <c r="EW34" s="120"/>
      <c r="EX34" s="120"/>
      <c r="EY34" s="120"/>
      <c r="EZ34" s="120"/>
      <c r="FA34" s="120"/>
      <c r="FB34" s="120"/>
      <c r="FC34" s="120"/>
      <c r="FD34" s="120"/>
      <c r="FE34" s="120"/>
      <c r="FF34" s="120"/>
      <c r="FG34" s="120"/>
      <c r="FH34" s="120"/>
      <c r="FI34" s="120"/>
      <c r="FJ34" s="120"/>
      <c r="FK34" s="120"/>
      <c r="FL34" s="120"/>
      <c r="FM34" s="120"/>
      <c r="FN34" s="120"/>
      <c r="FO34" s="120"/>
      <c r="FP34" s="120"/>
      <c r="FQ34" s="120"/>
      <c r="FR34" s="120"/>
      <c r="FS34" s="120"/>
      <c r="FT34" s="120"/>
      <c r="FU34" s="120"/>
      <c r="FV34" s="120"/>
      <c r="FW34" s="120"/>
      <c r="FX34" s="120"/>
      <c r="FY34" s="120"/>
      <c r="FZ34" s="120"/>
      <c r="GA34" s="120"/>
      <c r="GB34" s="120"/>
      <c r="GC34" s="120"/>
      <c r="GD34" s="120"/>
      <c r="GE34" s="120"/>
      <c r="GF34" s="120"/>
      <c r="GG34" s="120"/>
      <c r="GH34" s="120"/>
      <c r="GI34" s="120"/>
      <c r="GJ34" s="120"/>
      <c r="GK34" s="120"/>
      <c r="GL34" s="120"/>
      <c r="GM34" s="120"/>
      <c r="GN34" s="120"/>
      <c r="GO34" s="120"/>
      <c r="GP34" s="120"/>
      <c r="GQ34" s="120"/>
      <c r="GR34" s="120"/>
      <c r="GS34" s="120"/>
      <c r="GT34" s="120"/>
      <c r="GU34" s="120"/>
      <c r="GV34" s="120"/>
      <c r="GW34" s="120"/>
      <c r="GX34" s="120"/>
      <c r="GY34" s="120"/>
      <c r="GZ34" s="120"/>
      <c r="HA34" s="120"/>
      <c r="HB34" s="120"/>
      <c r="HC34" s="120"/>
      <c r="HD34" s="120"/>
      <c r="HE34" s="120"/>
      <c r="HF34" s="120"/>
      <c r="HG34" s="120"/>
      <c r="HH34" s="120"/>
    </row>
    <row r="35" spans="2:216" ht="20.100000000000001" customHeight="1">
      <c r="B35" s="279" t="s">
        <v>227</v>
      </c>
      <c r="C35" s="279"/>
      <c r="D35" s="279"/>
      <c r="E35" s="279"/>
      <c r="F35" s="279"/>
      <c r="G35" s="279"/>
      <c r="H35" s="279"/>
      <c r="I35" s="279"/>
      <c r="J35" s="279"/>
      <c r="K35" s="183"/>
      <c r="L35" s="183"/>
      <c r="M35" s="183"/>
      <c r="N35" s="183"/>
      <c r="O35" s="121"/>
      <c r="P35" s="121"/>
      <c r="Q35" s="150"/>
      <c r="R35" s="121"/>
      <c r="S35" s="150"/>
      <c r="T35" s="150"/>
      <c r="U35" s="127"/>
      <c r="V35" s="151"/>
      <c r="W35" s="151"/>
      <c r="X35" s="108"/>
      <c r="Y35" s="235"/>
      <c r="Z35" s="236"/>
      <c r="AA35" s="127"/>
      <c r="AB35" s="121"/>
      <c r="AC35" s="121"/>
      <c r="AD35" s="183"/>
      <c r="AF35" s="183"/>
      <c r="AG35" s="183"/>
      <c r="BR35" s="120"/>
      <c r="BS35" s="120"/>
      <c r="BT35" s="120"/>
      <c r="BU35" s="120"/>
      <c r="BV35" s="120"/>
      <c r="BW35" s="120"/>
      <c r="BX35" s="120"/>
      <c r="BY35" s="120"/>
      <c r="BZ35" s="120"/>
      <c r="CA35" s="120"/>
      <c r="CB35" s="120"/>
      <c r="CC35" s="120"/>
      <c r="CD35" s="120"/>
      <c r="CE35" s="120"/>
      <c r="CF35" s="120"/>
      <c r="CG35" s="120"/>
      <c r="CH35" s="120"/>
      <c r="CI35" s="120"/>
      <c r="CJ35" s="120"/>
      <c r="CK35" s="120"/>
      <c r="CL35" s="120"/>
      <c r="CM35" s="120"/>
      <c r="CN35" s="120"/>
      <c r="CO35" s="120"/>
      <c r="CP35" s="120"/>
      <c r="CQ35" s="120"/>
      <c r="CR35" s="120"/>
      <c r="CS35" s="120"/>
      <c r="CT35" s="120"/>
      <c r="CU35" s="120"/>
      <c r="CV35" s="120"/>
      <c r="CW35" s="120"/>
      <c r="CX35" s="120"/>
      <c r="CY35" s="120"/>
      <c r="CZ35" s="120"/>
      <c r="DA35" s="120"/>
      <c r="DB35" s="120"/>
      <c r="DC35" s="120"/>
      <c r="DD35" s="120"/>
      <c r="DE35" s="120"/>
      <c r="DF35" s="120"/>
      <c r="DG35" s="120"/>
      <c r="DH35" s="120"/>
      <c r="DI35" s="120"/>
      <c r="DJ35" s="120"/>
      <c r="DK35" s="120"/>
      <c r="DL35" s="120"/>
      <c r="DM35" s="120"/>
      <c r="DN35" s="120"/>
      <c r="DO35" s="120"/>
      <c r="DP35" s="120"/>
      <c r="DQ35" s="120"/>
      <c r="DR35" s="120"/>
      <c r="DS35" s="120"/>
      <c r="DT35" s="120"/>
      <c r="DU35" s="120"/>
      <c r="DV35" s="120"/>
      <c r="DW35" s="120"/>
      <c r="DX35" s="120"/>
      <c r="DY35" s="120"/>
      <c r="DZ35" s="120"/>
      <c r="EA35" s="120"/>
      <c r="EB35" s="120"/>
      <c r="EC35" s="120"/>
      <c r="ED35" s="120"/>
      <c r="EE35" s="120"/>
      <c r="EF35" s="120"/>
      <c r="EG35" s="120"/>
      <c r="EH35" s="120"/>
      <c r="EI35" s="120"/>
      <c r="EJ35" s="120"/>
      <c r="EK35" s="120"/>
      <c r="EL35" s="120"/>
      <c r="EM35" s="120"/>
      <c r="EN35" s="120"/>
      <c r="EO35" s="120"/>
      <c r="EP35" s="120"/>
      <c r="EQ35" s="120"/>
      <c r="ER35" s="120"/>
      <c r="ES35" s="120"/>
      <c r="ET35" s="120"/>
      <c r="EU35" s="120"/>
      <c r="EV35" s="120"/>
      <c r="EW35" s="120"/>
      <c r="EX35" s="120"/>
      <c r="EY35" s="120"/>
      <c r="EZ35" s="120"/>
      <c r="FA35" s="120"/>
      <c r="FB35" s="120"/>
      <c r="FC35" s="120"/>
      <c r="FD35" s="120"/>
      <c r="FE35" s="120"/>
      <c r="FF35" s="120"/>
      <c r="FG35" s="120"/>
      <c r="FH35" s="120"/>
      <c r="FI35" s="120"/>
      <c r="FJ35" s="120"/>
      <c r="FK35" s="120"/>
      <c r="FL35" s="120"/>
      <c r="FM35" s="120"/>
      <c r="FN35" s="120"/>
      <c r="FO35" s="120"/>
      <c r="FP35" s="120"/>
      <c r="FQ35" s="120"/>
      <c r="FR35" s="120"/>
      <c r="FS35" s="120"/>
      <c r="FT35" s="120"/>
      <c r="FU35" s="120"/>
      <c r="FV35" s="120"/>
      <c r="FW35" s="120"/>
      <c r="FX35" s="120"/>
      <c r="FY35" s="120"/>
      <c r="FZ35" s="120"/>
      <c r="GA35" s="120"/>
      <c r="GB35" s="120"/>
      <c r="GC35" s="120"/>
      <c r="GD35" s="120"/>
      <c r="GE35" s="120"/>
      <c r="GF35" s="120"/>
      <c r="GG35" s="120"/>
      <c r="GH35" s="120"/>
      <c r="GI35" s="120"/>
      <c r="GJ35" s="120"/>
      <c r="GK35" s="120"/>
      <c r="GL35" s="120"/>
      <c r="GM35" s="120"/>
      <c r="GN35" s="120"/>
      <c r="GO35" s="120"/>
      <c r="GP35" s="120"/>
      <c r="GQ35" s="120"/>
      <c r="GR35" s="120"/>
      <c r="GS35" s="120"/>
      <c r="GT35" s="120"/>
      <c r="GU35" s="120"/>
      <c r="GV35" s="120"/>
      <c r="GW35" s="120"/>
      <c r="GX35" s="120"/>
      <c r="GY35" s="120"/>
      <c r="GZ35" s="120"/>
      <c r="HA35" s="120"/>
      <c r="HB35" s="120"/>
      <c r="HC35" s="120"/>
      <c r="HD35" s="120"/>
      <c r="HE35" s="120"/>
      <c r="HF35" s="120"/>
      <c r="HG35" s="120"/>
      <c r="HH35" s="120"/>
    </row>
    <row r="36" spans="2:216" ht="20.100000000000001" customHeight="1">
      <c r="B36" s="279"/>
      <c r="C36" s="279"/>
      <c r="D36" s="279"/>
      <c r="E36" s="279"/>
      <c r="F36" s="279"/>
      <c r="G36" s="279"/>
      <c r="H36" s="279"/>
      <c r="I36" s="279"/>
      <c r="J36" s="279"/>
      <c r="K36" s="183"/>
      <c r="L36" s="183"/>
      <c r="M36" s="183"/>
      <c r="N36" s="183"/>
      <c r="O36" s="121"/>
      <c r="P36" s="121"/>
      <c r="Q36" s="150"/>
      <c r="R36" s="121"/>
      <c r="S36" s="150"/>
      <c r="T36" s="150"/>
      <c r="U36" s="127"/>
      <c r="V36" s="151"/>
      <c r="W36" s="151"/>
      <c r="X36" s="108"/>
      <c r="Y36" s="235"/>
      <c r="Z36" s="236"/>
      <c r="AA36" s="127"/>
      <c r="AB36" s="121"/>
      <c r="AC36" s="121"/>
      <c r="AD36" s="183"/>
      <c r="AF36" s="183"/>
      <c r="AG36" s="183"/>
      <c r="BR36" s="120"/>
      <c r="BS36" s="120"/>
      <c r="BT36" s="120"/>
      <c r="BU36" s="120"/>
      <c r="BV36" s="120"/>
      <c r="BW36" s="120"/>
      <c r="BX36" s="120"/>
      <c r="BY36" s="120"/>
      <c r="BZ36" s="120"/>
      <c r="CA36" s="120"/>
      <c r="CB36" s="120"/>
      <c r="CC36" s="120"/>
      <c r="CD36" s="120"/>
      <c r="CE36" s="120"/>
      <c r="CF36" s="120"/>
      <c r="CG36" s="120"/>
      <c r="CH36" s="120"/>
      <c r="CI36" s="120"/>
      <c r="CJ36" s="120"/>
      <c r="CK36" s="120"/>
      <c r="CL36" s="120"/>
      <c r="CM36" s="120"/>
      <c r="CN36" s="120"/>
      <c r="CO36" s="120"/>
      <c r="CP36" s="120"/>
      <c r="CQ36" s="120"/>
      <c r="CR36" s="120"/>
      <c r="CS36" s="120"/>
      <c r="CT36" s="120"/>
      <c r="CU36" s="120"/>
      <c r="CV36" s="120"/>
      <c r="CW36" s="120"/>
      <c r="CX36" s="120"/>
      <c r="CY36" s="120"/>
      <c r="CZ36" s="120"/>
      <c r="DA36" s="120"/>
      <c r="DB36" s="120"/>
      <c r="DC36" s="120"/>
      <c r="DD36" s="120"/>
      <c r="DE36" s="120"/>
      <c r="DF36" s="120"/>
      <c r="DG36" s="120"/>
      <c r="DH36" s="120"/>
      <c r="DI36" s="120"/>
      <c r="DJ36" s="120"/>
      <c r="DK36" s="120"/>
      <c r="DL36" s="120"/>
      <c r="DM36" s="120"/>
      <c r="DN36" s="120"/>
      <c r="DO36" s="120"/>
      <c r="DP36" s="120"/>
      <c r="DQ36" s="120"/>
      <c r="DR36" s="120"/>
      <c r="DS36" s="120"/>
      <c r="DT36" s="120"/>
      <c r="DU36" s="120"/>
      <c r="DV36" s="120"/>
      <c r="DW36" s="120"/>
      <c r="DX36" s="120"/>
      <c r="DY36" s="120"/>
      <c r="DZ36" s="120"/>
      <c r="EA36" s="120"/>
      <c r="EB36" s="120"/>
      <c r="EC36" s="120"/>
      <c r="ED36" s="120"/>
      <c r="EE36" s="120"/>
      <c r="EF36" s="120"/>
      <c r="EG36" s="120"/>
      <c r="EH36" s="120"/>
      <c r="EI36" s="120"/>
      <c r="EJ36" s="120"/>
      <c r="EK36" s="120"/>
      <c r="EL36" s="120"/>
      <c r="EM36" s="120"/>
      <c r="EN36" s="120"/>
      <c r="EO36" s="120"/>
      <c r="EP36" s="120"/>
      <c r="EQ36" s="120"/>
      <c r="ER36" s="120"/>
      <c r="ES36" s="120"/>
      <c r="ET36" s="120"/>
      <c r="EU36" s="120"/>
      <c r="EV36" s="120"/>
      <c r="EW36" s="120"/>
      <c r="EX36" s="120"/>
      <c r="EY36" s="120"/>
      <c r="EZ36" s="120"/>
      <c r="FA36" s="120"/>
      <c r="FB36" s="120"/>
      <c r="FC36" s="120"/>
      <c r="FD36" s="120"/>
      <c r="FE36" s="120"/>
      <c r="FF36" s="120"/>
      <c r="FG36" s="120"/>
      <c r="FH36" s="120"/>
      <c r="FI36" s="120"/>
      <c r="FJ36" s="120"/>
      <c r="FK36" s="120"/>
      <c r="FL36" s="120"/>
      <c r="FM36" s="120"/>
      <c r="FN36" s="120"/>
      <c r="FO36" s="120"/>
      <c r="FP36" s="120"/>
      <c r="FQ36" s="120"/>
      <c r="FR36" s="120"/>
      <c r="FS36" s="120"/>
      <c r="FT36" s="120"/>
      <c r="FU36" s="120"/>
      <c r="FV36" s="120"/>
      <c r="FW36" s="120"/>
      <c r="FX36" s="120"/>
      <c r="FY36" s="120"/>
      <c r="FZ36" s="120"/>
      <c r="GA36" s="120"/>
      <c r="GB36" s="120"/>
      <c r="GC36" s="120"/>
      <c r="GD36" s="120"/>
      <c r="GE36" s="120"/>
      <c r="GF36" s="120"/>
      <c r="GG36" s="120"/>
      <c r="GH36" s="120"/>
      <c r="GI36" s="120"/>
      <c r="GJ36" s="120"/>
      <c r="GK36" s="120"/>
      <c r="GL36" s="120"/>
      <c r="GM36" s="120"/>
      <c r="GN36" s="120"/>
      <c r="GO36" s="120"/>
      <c r="GP36" s="120"/>
      <c r="GQ36" s="120"/>
      <c r="GR36" s="120"/>
      <c r="GS36" s="120"/>
      <c r="GT36" s="120"/>
      <c r="GU36" s="120"/>
      <c r="GV36" s="120"/>
      <c r="GW36" s="120"/>
      <c r="GX36" s="120"/>
      <c r="GY36" s="120"/>
      <c r="GZ36" s="120"/>
      <c r="HA36" s="120"/>
      <c r="HB36" s="120"/>
      <c r="HC36" s="120"/>
      <c r="HD36" s="120"/>
      <c r="HE36" s="120"/>
      <c r="HF36" s="120"/>
      <c r="HG36" s="120"/>
      <c r="HH36" s="120"/>
    </row>
    <row r="37" spans="2:216" ht="20.100000000000001" customHeight="1">
      <c r="B37" s="279"/>
      <c r="C37" s="279"/>
      <c r="D37" s="279"/>
      <c r="E37" s="279"/>
      <c r="F37" s="279"/>
      <c r="G37" s="279"/>
      <c r="H37" s="279"/>
      <c r="I37" s="279"/>
      <c r="J37" s="279"/>
      <c r="K37" s="183"/>
      <c r="L37" s="183"/>
      <c r="M37" s="183"/>
      <c r="N37" s="183"/>
      <c r="O37" s="121"/>
      <c r="P37" s="121"/>
      <c r="Q37" s="150"/>
      <c r="R37" s="121"/>
      <c r="S37" s="150"/>
      <c r="T37" s="150"/>
      <c r="U37" s="127"/>
      <c r="V37" s="151"/>
      <c r="W37" s="151"/>
      <c r="X37" s="108"/>
      <c r="Y37" s="235"/>
      <c r="Z37" s="236"/>
      <c r="AA37" s="127"/>
      <c r="AB37" s="121"/>
      <c r="AC37" s="121"/>
      <c r="AD37" s="183"/>
      <c r="AF37" s="183"/>
      <c r="AG37" s="183"/>
      <c r="BR37" s="120"/>
      <c r="BS37" s="120"/>
      <c r="BT37" s="120"/>
      <c r="BU37" s="120"/>
      <c r="BV37" s="120"/>
      <c r="BW37" s="120"/>
      <c r="BX37" s="120"/>
      <c r="BY37" s="120"/>
      <c r="BZ37" s="120"/>
      <c r="CA37" s="120"/>
      <c r="CB37" s="120"/>
      <c r="CC37" s="120"/>
      <c r="CD37" s="120"/>
      <c r="CE37" s="120"/>
      <c r="CF37" s="120"/>
      <c r="CG37" s="120"/>
      <c r="CH37" s="120"/>
      <c r="CI37" s="120"/>
      <c r="CJ37" s="120"/>
      <c r="CK37" s="120"/>
      <c r="CL37" s="120"/>
      <c r="CM37" s="120"/>
      <c r="CN37" s="120"/>
      <c r="CO37" s="120"/>
      <c r="CP37" s="120"/>
      <c r="CQ37" s="120"/>
      <c r="CR37" s="120"/>
      <c r="CS37" s="120"/>
      <c r="CT37" s="120"/>
      <c r="CU37" s="120"/>
      <c r="CV37" s="120"/>
      <c r="CW37" s="120"/>
      <c r="CX37" s="120"/>
      <c r="CY37" s="120"/>
      <c r="CZ37" s="120"/>
      <c r="DA37" s="120"/>
      <c r="DB37" s="120"/>
      <c r="DC37" s="120"/>
      <c r="DD37" s="120"/>
      <c r="DE37" s="120"/>
      <c r="DF37" s="120"/>
      <c r="DG37" s="120"/>
      <c r="DH37" s="120"/>
      <c r="DI37" s="120"/>
      <c r="DJ37" s="120"/>
      <c r="DK37" s="120"/>
      <c r="DL37" s="120"/>
      <c r="DM37" s="120"/>
      <c r="DN37" s="120"/>
      <c r="DO37" s="120"/>
      <c r="DP37" s="120"/>
      <c r="DQ37" s="120"/>
      <c r="DR37" s="120"/>
      <c r="DS37" s="120"/>
      <c r="DT37" s="120"/>
      <c r="DU37" s="120"/>
      <c r="DV37" s="120"/>
      <c r="DW37" s="120"/>
      <c r="DX37" s="120"/>
      <c r="DY37" s="120"/>
      <c r="DZ37" s="120"/>
      <c r="EA37" s="120"/>
      <c r="EB37" s="120"/>
      <c r="EC37" s="120"/>
      <c r="ED37" s="120"/>
      <c r="EE37" s="120"/>
      <c r="EF37" s="120"/>
      <c r="EG37" s="120"/>
      <c r="EH37" s="120"/>
      <c r="EI37" s="120"/>
      <c r="EJ37" s="120"/>
      <c r="EK37" s="120"/>
      <c r="EL37" s="120"/>
      <c r="EM37" s="120"/>
      <c r="EN37" s="120"/>
      <c r="EO37" s="120"/>
      <c r="EP37" s="120"/>
      <c r="EQ37" s="120"/>
      <c r="ER37" s="120"/>
      <c r="ES37" s="120"/>
      <c r="ET37" s="120"/>
      <c r="EU37" s="120"/>
      <c r="EV37" s="120"/>
      <c r="EW37" s="120"/>
      <c r="EX37" s="120"/>
      <c r="EY37" s="120"/>
      <c r="EZ37" s="120"/>
      <c r="FA37" s="120"/>
      <c r="FB37" s="120"/>
      <c r="FC37" s="120"/>
      <c r="FD37" s="120"/>
      <c r="FE37" s="120"/>
      <c r="FF37" s="120"/>
      <c r="FG37" s="120"/>
      <c r="FH37" s="120"/>
      <c r="FI37" s="120"/>
      <c r="FJ37" s="120"/>
      <c r="FK37" s="120"/>
      <c r="FL37" s="120"/>
      <c r="FM37" s="120"/>
      <c r="FN37" s="120"/>
      <c r="FO37" s="120"/>
      <c r="FP37" s="120"/>
      <c r="FQ37" s="120"/>
      <c r="FR37" s="120"/>
      <c r="FS37" s="120"/>
      <c r="FT37" s="120"/>
      <c r="FU37" s="120"/>
      <c r="FV37" s="120"/>
      <c r="FW37" s="120"/>
      <c r="FX37" s="120"/>
      <c r="FY37" s="120"/>
      <c r="FZ37" s="120"/>
      <c r="GA37" s="120"/>
      <c r="GB37" s="120"/>
      <c r="GC37" s="120"/>
      <c r="GD37" s="120"/>
      <c r="GE37" s="120"/>
      <c r="GF37" s="120"/>
      <c r="GG37" s="120"/>
      <c r="GH37" s="120"/>
      <c r="GI37" s="120"/>
      <c r="GJ37" s="120"/>
      <c r="GK37" s="120"/>
      <c r="GL37" s="120"/>
      <c r="GM37" s="120"/>
      <c r="GN37" s="120"/>
      <c r="GO37" s="120"/>
      <c r="GP37" s="120"/>
      <c r="GQ37" s="120"/>
      <c r="GR37" s="120"/>
      <c r="GS37" s="120"/>
      <c r="GT37" s="120"/>
      <c r="GU37" s="120"/>
      <c r="GV37" s="120"/>
      <c r="GW37" s="120"/>
      <c r="GX37" s="120"/>
      <c r="GY37" s="120"/>
      <c r="GZ37" s="120"/>
      <c r="HA37" s="120"/>
      <c r="HB37" s="120"/>
      <c r="HC37" s="120"/>
      <c r="HD37" s="120"/>
      <c r="HE37" s="120"/>
      <c r="HF37" s="120"/>
      <c r="HG37" s="120"/>
      <c r="HH37" s="120"/>
    </row>
    <row r="38" spans="2:216" ht="20.100000000000001" customHeight="1">
      <c r="B38" s="279"/>
      <c r="C38" s="279"/>
      <c r="D38" s="279"/>
      <c r="E38" s="279"/>
      <c r="F38" s="279"/>
      <c r="G38" s="279"/>
      <c r="H38" s="279"/>
      <c r="I38" s="279"/>
      <c r="J38" s="279"/>
      <c r="K38" s="183"/>
      <c r="L38" s="183"/>
      <c r="M38" s="183"/>
      <c r="N38" s="183"/>
      <c r="O38" s="121"/>
      <c r="P38" s="121"/>
      <c r="Q38" s="150"/>
      <c r="R38" s="121"/>
      <c r="S38" s="150"/>
      <c r="T38" s="150"/>
      <c r="U38" s="127"/>
      <c r="V38" s="151"/>
      <c r="W38" s="151"/>
      <c r="X38" s="108"/>
      <c r="Y38" s="235"/>
      <c r="Z38" s="236"/>
      <c r="AA38" s="127"/>
      <c r="AB38" s="121"/>
      <c r="AC38" s="121"/>
      <c r="AD38" s="183"/>
      <c r="AF38" s="183"/>
      <c r="AG38" s="183"/>
      <c r="BR38" s="120"/>
      <c r="BS38" s="120"/>
      <c r="BT38" s="120"/>
      <c r="BU38" s="120"/>
      <c r="BV38" s="120"/>
      <c r="BW38" s="120"/>
      <c r="BX38" s="120"/>
      <c r="BY38" s="120"/>
      <c r="BZ38" s="120"/>
      <c r="CA38" s="120"/>
      <c r="CB38" s="120"/>
      <c r="CC38" s="120"/>
      <c r="CD38" s="120"/>
      <c r="CE38" s="120"/>
      <c r="CF38" s="120"/>
      <c r="CG38" s="120"/>
      <c r="CH38" s="120"/>
      <c r="CI38" s="120"/>
      <c r="CJ38" s="120"/>
      <c r="CK38" s="120"/>
      <c r="CL38" s="120"/>
      <c r="CM38" s="120"/>
      <c r="CN38" s="120"/>
      <c r="CO38" s="120"/>
      <c r="CP38" s="120"/>
      <c r="CQ38" s="120"/>
      <c r="CR38" s="120"/>
      <c r="CS38" s="120"/>
      <c r="CT38" s="120"/>
      <c r="CU38" s="120"/>
      <c r="CV38" s="120"/>
      <c r="CW38" s="120"/>
      <c r="CX38" s="120"/>
      <c r="CY38" s="120"/>
      <c r="CZ38" s="120"/>
      <c r="DA38" s="120"/>
      <c r="DB38" s="120"/>
      <c r="DC38" s="120"/>
      <c r="DD38" s="120"/>
      <c r="DE38" s="120"/>
      <c r="DF38" s="120"/>
      <c r="DG38" s="120"/>
      <c r="DH38" s="120"/>
      <c r="DI38" s="120"/>
      <c r="DJ38" s="120"/>
      <c r="DK38" s="120"/>
      <c r="DL38" s="120"/>
      <c r="DM38" s="120"/>
      <c r="DN38" s="120"/>
      <c r="DO38" s="120"/>
      <c r="DP38" s="120"/>
      <c r="DQ38" s="120"/>
      <c r="DR38" s="120"/>
      <c r="DS38" s="120"/>
      <c r="DT38" s="120"/>
      <c r="DU38" s="120"/>
      <c r="DV38" s="120"/>
      <c r="DW38" s="120"/>
      <c r="DX38" s="120"/>
      <c r="DY38" s="120"/>
      <c r="DZ38" s="120"/>
      <c r="EA38" s="120"/>
      <c r="EB38" s="120"/>
      <c r="EC38" s="120"/>
      <c r="ED38" s="120"/>
      <c r="EE38" s="120"/>
      <c r="EF38" s="120"/>
      <c r="EG38" s="120"/>
      <c r="EH38" s="120"/>
      <c r="EI38" s="120"/>
      <c r="EJ38" s="120"/>
      <c r="EK38" s="120"/>
      <c r="EL38" s="120"/>
      <c r="EM38" s="120"/>
      <c r="EN38" s="120"/>
      <c r="EO38" s="120"/>
      <c r="EP38" s="120"/>
      <c r="EQ38" s="120"/>
      <c r="ER38" s="120"/>
      <c r="ES38" s="120"/>
      <c r="ET38" s="120"/>
      <c r="EU38" s="120"/>
      <c r="EV38" s="120"/>
      <c r="EW38" s="120"/>
      <c r="EX38" s="120"/>
      <c r="EY38" s="120"/>
      <c r="EZ38" s="120"/>
      <c r="FA38" s="120"/>
      <c r="FB38" s="120"/>
      <c r="FC38" s="120"/>
      <c r="FD38" s="120"/>
      <c r="FE38" s="120"/>
      <c r="FF38" s="120"/>
      <c r="FG38" s="120"/>
      <c r="FH38" s="120"/>
      <c r="FI38" s="120"/>
      <c r="FJ38" s="120"/>
      <c r="FK38" s="120"/>
      <c r="FL38" s="120"/>
      <c r="FM38" s="120"/>
      <c r="FN38" s="120"/>
      <c r="FO38" s="120"/>
      <c r="FP38" s="120"/>
      <c r="FQ38" s="120"/>
      <c r="FR38" s="120"/>
      <c r="FS38" s="120"/>
      <c r="FT38" s="120"/>
      <c r="FU38" s="120"/>
      <c r="FV38" s="120"/>
      <c r="FW38" s="120"/>
      <c r="FX38" s="120"/>
      <c r="FY38" s="120"/>
      <c r="FZ38" s="120"/>
      <c r="GA38" s="120"/>
      <c r="GB38" s="120"/>
      <c r="GC38" s="120"/>
      <c r="GD38" s="120"/>
      <c r="GE38" s="120"/>
      <c r="GF38" s="120"/>
      <c r="GG38" s="120"/>
      <c r="GH38" s="120"/>
      <c r="GI38" s="120"/>
      <c r="GJ38" s="120"/>
      <c r="GK38" s="120"/>
      <c r="GL38" s="120"/>
      <c r="GM38" s="120"/>
      <c r="GN38" s="120"/>
      <c r="GO38" s="120"/>
      <c r="GP38" s="120"/>
      <c r="GQ38" s="120"/>
      <c r="GR38" s="120"/>
      <c r="GS38" s="120"/>
      <c r="GT38" s="120"/>
      <c r="GU38" s="120"/>
      <c r="GV38" s="120"/>
      <c r="GW38" s="120"/>
      <c r="GX38" s="120"/>
      <c r="GY38" s="120"/>
      <c r="GZ38" s="120"/>
      <c r="HA38" s="120"/>
      <c r="HB38" s="120"/>
      <c r="HC38" s="120"/>
      <c r="HD38" s="120"/>
      <c r="HE38" s="120"/>
      <c r="HF38" s="120"/>
      <c r="HG38" s="120"/>
      <c r="HH38" s="120"/>
    </row>
    <row r="39" spans="2:216" ht="20.100000000000001" customHeight="1">
      <c r="B39" s="279"/>
      <c r="C39" s="279"/>
      <c r="D39" s="279"/>
      <c r="E39" s="279"/>
      <c r="F39" s="279"/>
      <c r="G39" s="279"/>
      <c r="H39" s="279"/>
      <c r="I39" s="279"/>
      <c r="J39" s="279"/>
      <c r="K39" s="183"/>
      <c r="L39" s="183"/>
      <c r="M39" s="183"/>
      <c r="N39" s="183"/>
      <c r="O39" s="121"/>
      <c r="P39" s="121"/>
      <c r="Q39" s="150"/>
      <c r="R39" s="121"/>
      <c r="S39" s="150"/>
      <c r="T39" s="150"/>
      <c r="U39" s="127"/>
      <c r="V39" s="151"/>
      <c r="W39" s="151"/>
      <c r="X39" s="108"/>
      <c r="Y39" s="235"/>
      <c r="Z39" s="236"/>
      <c r="AA39" s="127"/>
      <c r="AB39" s="121"/>
      <c r="AC39" s="121"/>
      <c r="AD39" s="183"/>
      <c r="AF39" s="183"/>
      <c r="AG39" s="183"/>
      <c r="BR39" s="120"/>
      <c r="BS39" s="120"/>
      <c r="BT39" s="120"/>
      <c r="BU39" s="120"/>
      <c r="BV39" s="120"/>
      <c r="BW39" s="120"/>
      <c r="BX39" s="120"/>
      <c r="BY39" s="120"/>
      <c r="BZ39" s="120"/>
      <c r="CA39" s="120"/>
      <c r="CB39" s="120"/>
      <c r="CC39" s="120"/>
      <c r="CD39" s="120"/>
      <c r="CE39" s="120"/>
      <c r="CF39" s="120"/>
      <c r="CG39" s="120"/>
      <c r="CH39" s="120"/>
      <c r="CI39" s="120"/>
      <c r="CJ39" s="120"/>
      <c r="CK39" s="120"/>
      <c r="CL39" s="120"/>
      <c r="CM39" s="120"/>
      <c r="CN39" s="120"/>
      <c r="CO39" s="120"/>
      <c r="CP39" s="120"/>
      <c r="CQ39" s="120"/>
      <c r="CR39" s="120"/>
      <c r="CS39" s="120"/>
      <c r="CT39" s="120"/>
      <c r="CU39" s="120"/>
      <c r="CV39" s="120"/>
      <c r="CW39" s="120"/>
      <c r="CX39" s="120"/>
      <c r="CY39" s="120"/>
      <c r="CZ39" s="120"/>
      <c r="DA39" s="120"/>
      <c r="DB39" s="120"/>
      <c r="DC39" s="120"/>
      <c r="DD39" s="120"/>
      <c r="DE39" s="120"/>
      <c r="DF39" s="120"/>
      <c r="DG39" s="120"/>
      <c r="DH39" s="120"/>
      <c r="DI39" s="120"/>
      <c r="DJ39" s="120"/>
      <c r="DK39" s="120"/>
      <c r="DL39" s="120"/>
      <c r="DM39" s="120"/>
      <c r="DN39" s="120"/>
      <c r="DO39" s="120"/>
      <c r="DP39" s="120"/>
      <c r="DQ39" s="120"/>
      <c r="DR39" s="120"/>
      <c r="DS39" s="120"/>
      <c r="DT39" s="120"/>
      <c r="DU39" s="120"/>
      <c r="DV39" s="120"/>
      <c r="DW39" s="120"/>
      <c r="DX39" s="120"/>
      <c r="DY39" s="120"/>
      <c r="DZ39" s="120"/>
      <c r="EA39" s="120"/>
      <c r="EB39" s="120"/>
      <c r="EC39" s="120"/>
      <c r="ED39" s="120"/>
      <c r="EE39" s="120"/>
      <c r="EF39" s="120"/>
      <c r="EG39" s="120"/>
      <c r="EH39" s="120"/>
      <c r="EI39" s="120"/>
      <c r="EJ39" s="120"/>
      <c r="EK39" s="120"/>
      <c r="EL39" s="120"/>
      <c r="EM39" s="120"/>
      <c r="EN39" s="120"/>
      <c r="EO39" s="120"/>
      <c r="EP39" s="120"/>
      <c r="EQ39" s="120"/>
      <c r="ER39" s="120"/>
      <c r="ES39" s="120"/>
      <c r="ET39" s="120"/>
      <c r="EU39" s="120"/>
      <c r="EV39" s="120"/>
      <c r="EW39" s="120"/>
      <c r="EX39" s="120"/>
      <c r="EY39" s="120"/>
      <c r="EZ39" s="120"/>
      <c r="FA39" s="120"/>
      <c r="FB39" s="120"/>
      <c r="FC39" s="120"/>
      <c r="FD39" s="120"/>
      <c r="FE39" s="120"/>
      <c r="FF39" s="120"/>
      <c r="FG39" s="120"/>
      <c r="FH39" s="120"/>
      <c r="FI39" s="120"/>
      <c r="FJ39" s="120"/>
      <c r="FK39" s="120"/>
      <c r="FL39" s="120"/>
      <c r="FM39" s="120"/>
      <c r="FN39" s="120"/>
      <c r="FO39" s="120"/>
      <c r="FP39" s="120"/>
      <c r="FQ39" s="120"/>
      <c r="FR39" s="120"/>
      <c r="FS39" s="120"/>
      <c r="FT39" s="120"/>
      <c r="FU39" s="120"/>
      <c r="FV39" s="120"/>
      <c r="FW39" s="120"/>
      <c r="FX39" s="120"/>
      <c r="FY39" s="120"/>
      <c r="FZ39" s="120"/>
      <c r="GA39" s="120"/>
      <c r="GB39" s="120"/>
      <c r="GC39" s="120"/>
      <c r="GD39" s="120"/>
      <c r="GE39" s="120"/>
      <c r="GF39" s="120"/>
      <c r="GG39" s="120"/>
      <c r="GH39" s="120"/>
      <c r="GI39" s="120"/>
      <c r="GJ39" s="120"/>
      <c r="GK39" s="120"/>
      <c r="GL39" s="120"/>
      <c r="GM39" s="120"/>
      <c r="GN39" s="120"/>
      <c r="GO39" s="120"/>
      <c r="GP39" s="120"/>
      <c r="GQ39" s="120"/>
      <c r="GR39" s="120"/>
      <c r="GS39" s="120"/>
      <c r="GT39" s="120"/>
      <c r="GU39" s="120"/>
      <c r="GV39" s="120"/>
      <c r="GW39" s="120"/>
      <c r="GX39" s="120"/>
      <c r="GY39" s="120"/>
      <c r="GZ39" s="120"/>
      <c r="HA39" s="120"/>
      <c r="HB39" s="120"/>
      <c r="HC39" s="120"/>
      <c r="HD39" s="120"/>
      <c r="HE39" s="120"/>
      <c r="HF39" s="120"/>
      <c r="HG39" s="120"/>
      <c r="HH39" s="120"/>
    </row>
    <row r="40" spans="2:216" ht="20.100000000000001" customHeight="1">
      <c r="B40" s="279"/>
      <c r="C40" s="279"/>
      <c r="D40" s="279"/>
      <c r="E40" s="279"/>
      <c r="F40" s="279"/>
      <c r="G40" s="279"/>
      <c r="H40" s="279"/>
      <c r="I40" s="279"/>
      <c r="J40" s="279"/>
      <c r="K40" s="121"/>
      <c r="L40" s="121"/>
      <c r="N40" s="183"/>
      <c r="O40" s="121"/>
      <c r="P40" s="121"/>
      <c r="Q40" s="150"/>
      <c r="R40" s="121"/>
      <c r="S40" s="150"/>
      <c r="T40" s="150"/>
      <c r="U40" s="127"/>
      <c r="V40" s="151"/>
      <c r="W40" s="151"/>
      <c r="X40" s="108"/>
      <c r="Y40" s="235"/>
      <c r="Z40" s="236"/>
      <c r="AA40" s="127"/>
      <c r="AB40" s="121"/>
      <c r="AC40" s="121"/>
      <c r="AD40" s="183"/>
      <c r="AF40" s="121"/>
      <c r="BR40" s="120"/>
      <c r="BS40" s="120"/>
      <c r="BT40" s="120"/>
      <c r="BU40" s="120"/>
      <c r="BV40" s="120"/>
      <c r="BW40" s="120"/>
      <c r="BX40" s="120"/>
      <c r="BY40" s="120"/>
      <c r="BZ40" s="120"/>
      <c r="CA40" s="120"/>
      <c r="CB40" s="120"/>
      <c r="CC40" s="120"/>
      <c r="CD40" s="120"/>
      <c r="CE40" s="120"/>
      <c r="CF40" s="120"/>
      <c r="CG40" s="120"/>
      <c r="CH40" s="120"/>
      <c r="CI40" s="120"/>
      <c r="CJ40" s="120"/>
      <c r="CK40" s="120"/>
      <c r="CL40" s="120"/>
      <c r="CM40" s="120"/>
      <c r="CN40" s="120"/>
      <c r="CO40" s="120"/>
      <c r="CP40" s="120"/>
      <c r="CQ40" s="120"/>
      <c r="CR40" s="120"/>
      <c r="CS40" s="120"/>
      <c r="CT40" s="120"/>
      <c r="CU40" s="120"/>
      <c r="CV40" s="120"/>
      <c r="CW40" s="120"/>
      <c r="CX40" s="120"/>
      <c r="CY40" s="120"/>
      <c r="CZ40" s="120"/>
      <c r="DA40" s="120"/>
      <c r="DB40" s="120"/>
      <c r="DC40" s="120"/>
      <c r="DD40" s="120"/>
      <c r="DE40" s="120"/>
      <c r="DF40" s="120"/>
      <c r="DG40" s="120"/>
      <c r="DH40" s="120"/>
      <c r="DI40" s="120"/>
      <c r="DJ40" s="120"/>
      <c r="DK40" s="120"/>
      <c r="DL40" s="120"/>
      <c r="DM40" s="120"/>
      <c r="DN40" s="120"/>
      <c r="DO40" s="120"/>
      <c r="DP40" s="120"/>
      <c r="DQ40" s="120"/>
      <c r="DR40" s="120"/>
      <c r="DS40" s="120"/>
      <c r="DT40" s="120"/>
      <c r="DU40" s="120"/>
      <c r="DV40" s="120"/>
      <c r="DW40" s="120"/>
      <c r="DX40" s="120"/>
      <c r="DY40" s="120"/>
      <c r="DZ40" s="120"/>
      <c r="EA40" s="120"/>
      <c r="EB40" s="120"/>
      <c r="EC40" s="120"/>
      <c r="ED40" s="120"/>
      <c r="EE40" s="120"/>
      <c r="EF40" s="120"/>
      <c r="EG40" s="120"/>
      <c r="EH40" s="120"/>
      <c r="EI40" s="120"/>
      <c r="EJ40" s="120"/>
      <c r="EK40" s="120"/>
      <c r="EL40" s="120"/>
      <c r="EM40" s="120"/>
      <c r="EN40" s="120"/>
      <c r="EO40" s="120"/>
      <c r="EP40" s="120"/>
      <c r="EQ40" s="120"/>
      <c r="ER40" s="120"/>
      <c r="ES40" s="120"/>
      <c r="ET40" s="120"/>
      <c r="EU40" s="120"/>
      <c r="EV40" s="120"/>
      <c r="EW40" s="120"/>
      <c r="EX40" s="120"/>
      <c r="EY40" s="120"/>
      <c r="EZ40" s="120"/>
      <c r="FA40" s="120"/>
      <c r="FB40" s="120"/>
      <c r="FC40" s="120"/>
      <c r="FD40" s="120"/>
      <c r="FE40" s="120"/>
      <c r="FF40" s="120"/>
      <c r="FG40" s="120"/>
      <c r="FH40" s="120"/>
      <c r="FI40" s="120"/>
      <c r="FJ40" s="120"/>
      <c r="FK40" s="120"/>
      <c r="FL40" s="120"/>
      <c r="FM40" s="120"/>
      <c r="FN40" s="120"/>
      <c r="FO40" s="120"/>
      <c r="FP40" s="120"/>
      <c r="FQ40" s="120"/>
      <c r="FR40" s="120"/>
      <c r="FS40" s="120"/>
      <c r="FT40" s="120"/>
      <c r="FU40" s="120"/>
      <c r="FV40" s="120"/>
      <c r="FW40" s="120"/>
      <c r="FX40" s="120"/>
      <c r="FY40" s="120"/>
      <c r="FZ40" s="120"/>
      <c r="GA40" s="120"/>
      <c r="GB40" s="120"/>
      <c r="GC40" s="120"/>
      <c r="GD40" s="120"/>
      <c r="GE40" s="120"/>
      <c r="GF40" s="120"/>
      <c r="GG40" s="120"/>
      <c r="GH40" s="120"/>
      <c r="GI40" s="120"/>
      <c r="GJ40" s="120"/>
      <c r="GK40" s="120"/>
      <c r="GL40" s="120"/>
      <c r="GM40" s="120"/>
      <c r="GN40" s="120"/>
      <c r="GO40" s="120"/>
      <c r="GP40" s="120"/>
      <c r="GQ40" s="120"/>
      <c r="GR40" s="120"/>
      <c r="GS40" s="120"/>
      <c r="GT40" s="120"/>
      <c r="GU40" s="120"/>
      <c r="GV40" s="120"/>
      <c r="GW40" s="120"/>
      <c r="GX40" s="120"/>
      <c r="GY40" s="120"/>
      <c r="GZ40" s="120"/>
      <c r="HA40" s="120"/>
      <c r="HB40" s="120"/>
      <c r="HC40" s="120"/>
      <c r="HD40" s="120"/>
      <c r="HE40" s="120"/>
      <c r="HF40" s="120"/>
      <c r="HG40" s="120"/>
      <c r="HH40" s="120"/>
    </row>
    <row r="41" spans="2:216" ht="20.100000000000001" hidden="1" customHeight="1" thickBot="1">
      <c r="B41" s="194"/>
      <c r="C41" s="194"/>
      <c r="D41" s="194"/>
      <c r="E41" s="194"/>
      <c r="F41" s="194"/>
      <c r="G41" s="194"/>
      <c r="H41" s="194"/>
      <c r="I41" s="194"/>
      <c r="J41" s="194"/>
      <c r="K41" s="121"/>
      <c r="L41" s="121"/>
      <c r="N41" s="183"/>
      <c r="O41" s="121"/>
      <c r="P41" s="121"/>
      <c r="Q41" s="150"/>
      <c r="R41" s="121"/>
      <c r="S41" s="150"/>
      <c r="T41" s="150"/>
      <c r="U41" s="127"/>
      <c r="V41" s="151"/>
      <c r="W41" s="151"/>
      <c r="X41" s="108"/>
      <c r="Y41" s="235"/>
      <c r="Z41" s="236"/>
      <c r="AA41" s="127"/>
      <c r="AB41" s="121"/>
      <c r="AC41" s="121"/>
      <c r="AD41" s="183"/>
      <c r="AF41" s="121"/>
      <c r="BR41" s="120"/>
      <c r="BS41" s="120"/>
      <c r="BT41" s="120"/>
      <c r="BU41" s="120"/>
      <c r="BV41" s="120"/>
      <c r="BW41" s="120"/>
      <c r="BX41" s="120"/>
      <c r="BY41" s="120"/>
      <c r="BZ41" s="120"/>
      <c r="CA41" s="120"/>
      <c r="CB41" s="120"/>
      <c r="CC41" s="120"/>
      <c r="CD41" s="120"/>
      <c r="CE41" s="120"/>
      <c r="CF41" s="120"/>
      <c r="CG41" s="120"/>
      <c r="CH41" s="120"/>
      <c r="CI41" s="120"/>
      <c r="CJ41" s="120"/>
      <c r="CK41" s="120"/>
      <c r="CL41" s="120"/>
      <c r="CM41" s="120"/>
      <c r="CN41" s="120"/>
      <c r="CO41" s="120"/>
      <c r="CP41" s="120"/>
      <c r="CQ41" s="120"/>
      <c r="CR41" s="120"/>
      <c r="CS41" s="120"/>
      <c r="CT41" s="120"/>
      <c r="CU41" s="120"/>
      <c r="CV41" s="120"/>
      <c r="CW41" s="120"/>
      <c r="CX41" s="120"/>
      <c r="CY41" s="120"/>
      <c r="CZ41" s="120"/>
      <c r="DA41" s="120"/>
      <c r="DB41" s="120"/>
      <c r="DC41" s="120"/>
      <c r="DD41" s="120"/>
      <c r="DE41" s="120"/>
      <c r="DF41" s="120"/>
      <c r="DG41" s="120"/>
      <c r="DH41" s="120"/>
      <c r="DI41" s="120"/>
      <c r="DJ41" s="120"/>
      <c r="DK41" s="120"/>
      <c r="DL41" s="120"/>
      <c r="DM41" s="120"/>
      <c r="DN41" s="120"/>
      <c r="DO41" s="120"/>
      <c r="DP41" s="120"/>
      <c r="DQ41" s="120"/>
      <c r="DR41" s="120"/>
      <c r="DS41" s="120"/>
      <c r="DT41" s="120"/>
      <c r="DU41" s="120"/>
      <c r="DV41" s="120"/>
      <c r="DW41" s="120"/>
      <c r="DX41" s="120"/>
      <c r="DY41" s="120"/>
      <c r="DZ41" s="120"/>
      <c r="EA41" s="120"/>
      <c r="EB41" s="120"/>
      <c r="EC41" s="120"/>
      <c r="ED41" s="120"/>
      <c r="EE41" s="120"/>
      <c r="EF41" s="120"/>
      <c r="EG41" s="120"/>
      <c r="EH41" s="120"/>
      <c r="EI41" s="120"/>
      <c r="EJ41" s="120"/>
      <c r="EK41" s="120"/>
      <c r="EL41" s="120"/>
      <c r="EM41" s="120"/>
      <c r="EN41" s="120"/>
      <c r="EO41" s="120"/>
      <c r="EP41" s="120"/>
      <c r="EQ41" s="120"/>
      <c r="ER41" s="120"/>
      <c r="ES41" s="120"/>
      <c r="ET41" s="120"/>
      <c r="EU41" s="120"/>
      <c r="EV41" s="120"/>
      <c r="EW41" s="120"/>
      <c r="EX41" s="120"/>
      <c r="EY41" s="120"/>
      <c r="EZ41" s="120"/>
      <c r="FA41" s="120"/>
      <c r="FB41" s="120"/>
      <c r="FC41" s="120"/>
      <c r="FD41" s="120"/>
      <c r="FE41" s="120"/>
      <c r="FF41" s="120"/>
      <c r="FG41" s="120"/>
      <c r="FH41" s="120"/>
      <c r="FI41" s="120"/>
      <c r="FJ41" s="120"/>
      <c r="FK41" s="120"/>
      <c r="FL41" s="120"/>
      <c r="FM41" s="120"/>
      <c r="FN41" s="120"/>
      <c r="FO41" s="120"/>
      <c r="FP41" s="120"/>
      <c r="FQ41" s="120"/>
      <c r="FR41" s="120"/>
      <c r="FS41" s="120"/>
      <c r="FT41" s="120"/>
      <c r="FU41" s="120"/>
      <c r="FV41" s="120"/>
      <c r="FW41" s="120"/>
      <c r="FX41" s="120"/>
      <c r="FY41" s="120"/>
      <c r="FZ41" s="120"/>
      <c r="GA41" s="120"/>
      <c r="GB41" s="120"/>
      <c r="GC41" s="120"/>
      <c r="GD41" s="120"/>
      <c r="GE41" s="120"/>
      <c r="GF41" s="120"/>
      <c r="GG41" s="120"/>
      <c r="GH41" s="120"/>
      <c r="GI41" s="120"/>
      <c r="GJ41" s="120"/>
      <c r="GK41" s="120"/>
      <c r="GL41" s="120"/>
      <c r="GM41" s="120"/>
      <c r="GN41" s="120"/>
      <c r="GO41" s="120"/>
      <c r="GP41" s="120"/>
      <c r="GQ41" s="120"/>
      <c r="GR41" s="120"/>
      <c r="GS41" s="120"/>
      <c r="GT41" s="120"/>
      <c r="GU41" s="120"/>
      <c r="GV41" s="120"/>
      <c r="GW41" s="120"/>
      <c r="GX41" s="120"/>
      <c r="GY41" s="120"/>
      <c r="GZ41" s="120"/>
      <c r="HA41" s="120"/>
      <c r="HB41" s="120"/>
      <c r="HC41" s="120"/>
      <c r="HD41" s="120"/>
      <c r="HE41" s="120"/>
      <c r="HF41" s="120"/>
      <c r="HG41" s="120"/>
      <c r="HH41" s="120"/>
    </row>
    <row r="42" spans="2:216" ht="27" hidden="1" customHeight="1" thickBot="1">
      <c r="B42" s="121"/>
      <c r="C42" s="252" t="s">
        <v>214</v>
      </c>
      <c r="D42" s="253"/>
      <c r="E42" s="254"/>
      <c r="F42" s="121"/>
      <c r="G42" s="252" t="s">
        <v>215</v>
      </c>
      <c r="H42" s="253"/>
      <c r="I42" s="254"/>
      <c r="J42" s="121"/>
      <c r="K42" s="224"/>
      <c r="L42" s="121"/>
      <c r="N42" s="183"/>
      <c r="O42" s="121"/>
      <c r="P42" s="121"/>
      <c r="Q42" s="150"/>
      <c r="R42" s="121"/>
      <c r="S42" s="150"/>
      <c r="T42" s="150"/>
      <c r="U42" s="127"/>
      <c r="V42" s="151"/>
      <c r="W42" s="151"/>
      <c r="X42" s="108"/>
      <c r="Y42" s="235"/>
      <c r="Z42" s="236"/>
      <c r="AA42" s="127"/>
      <c r="AB42" s="121"/>
      <c r="AC42" s="121"/>
      <c r="AD42" s="183"/>
      <c r="AE42" s="121"/>
      <c r="AF42" s="121"/>
    </row>
    <row r="43" spans="2:216" ht="64.349999999999994" hidden="1" customHeight="1" thickBot="1">
      <c r="B43" s="121"/>
      <c r="C43" s="256" t="s">
        <v>219</v>
      </c>
      <c r="D43" s="257"/>
      <c r="E43" s="258"/>
      <c r="F43" s="121"/>
      <c r="G43" s="256" t="s">
        <v>220</v>
      </c>
      <c r="H43" s="257"/>
      <c r="I43" s="258"/>
      <c r="J43" s="121"/>
      <c r="K43" s="224"/>
      <c r="L43" s="223"/>
      <c r="N43" s="183"/>
      <c r="O43" s="121"/>
      <c r="P43" s="121"/>
      <c r="Q43" s="121"/>
      <c r="R43" s="121"/>
      <c r="S43" s="127"/>
      <c r="T43" s="150"/>
      <c r="U43" s="121"/>
      <c r="V43" s="151" t="s">
        <v>17</v>
      </c>
      <c r="W43" s="153" t="e">
        <f>SUM(W23:W28)</f>
        <v>#VALUE!</v>
      </c>
      <c r="X43" s="121"/>
      <c r="Y43" s="133"/>
      <c r="Z43" s="133" t="s">
        <v>3</v>
      </c>
      <c r="AA43" s="127"/>
      <c r="AB43" s="121"/>
      <c r="AC43" s="121"/>
      <c r="AD43" s="183"/>
      <c r="AE43" s="121"/>
      <c r="AF43" s="121"/>
    </row>
    <row r="44" spans="2:216" ht="25.35" hidden="1" customHeight="1">
      <c r="B44" s="121"/>
      <c r="C44" s="259" t="s">
        <v>208</v>
      </c>
      <c r="D44" s="260"/>
      <c r="E44" s="261"/>
      <c r="F44" s="121"/>
      <c r="G44" s="259" t="s">
        <v>208</v>
      </c>
      <c r="H44" s="260"/>
      <c r="I44" s="261"/>
      <c r="J44" s="121"/>
      <c r="K44" s="224"/>
      <c r="L44" s="223"/>
      <c r="N44" s="183"/>
      <c r="O44" s="121"/>
      <c r="P44" s="121"/>
      <c r="Q44" s="121"/>
      <c r="R44" s="121"/>
      <c r="S44" s="127"/>
      <c r="T44" s="150"/>
      <c r="U44" s="121"/>
      <c r="V44" s="121"/>
      <c r="W44" s="121"/>
      <c r="X44" s="121"/>
      <c r="Y44" s="133" t="s">
        <v>5</v>
      </c>
      <c r="Z44" s="133">
        <f>0.0000472912571538526*(V27*V27) - 0.0143907820290028*V27 + 2.0275145422229</f>
        <v>0.98161480175804128</v>
      </c>
      <c r="AA44" s="127"/>
      <c r="AC44" s="121"/>
      <c r="AD44" s="121"/>
      <c r="AE44" s="121"/>
      <c r="AF44" s="121"/>
    </row>
    <row r="45" spans="2:216" ht="23.1" hidden="1" customHeight="1">
      <c r="B45" s="121"/>
      <c r="C45" s="155" t="s">
        <v>211</v>
      </c>
      <c r="D45" s="226"/>
      <c r="E45" s="207">
        <f>IFERROR(F55,"")</f>
        <v>1.5631645474960036E-2</v>
      </c>
      <c r="F45" s="121"/>
      <c r="G45" s="155" t="str">
        <f>IF($E$10&gt;0,"IOFFC","IOFC")</f>
        <v>IOFFC</v>
      </c>
      <c r="H45" s="226"/>
      <c r="I45" s="113">
        <f>IFERROR(IF($G$45="IOFC",$F$62,$F$63),"")</f>
        <v>0.52333073568358657</v>
      </c>
      <c r="J45" s="121"/>
      <c r="K45" s="224"/>
      <c r="L45" s="223"/>
      <c r="N45" s="183"/>
      <c r="O45" s="121"/>
      <c r="P45" s="121"/>
      <c r="Q45" s="121"/>
      <c r="R45" s="121"/>
      <c r="S45" s="127"/>
      <c r="T45" s="127"/>
      <c r="U45" s="121"/>
      <c r="V45" s="121"/>
      <c r="W45" s="121"/>
      <c r="X45" s="121"/>
      <c r="AA45" s="127"/>
      <c r="AB45" s="121"/>
      <c r="AC45" s="121"/>
      <c r="AD45" s="121"/>
      <c r="AE45" s="121"/>
      <c r="AF45" s="121"/>
    </row>
    <row r="46" spans="2:216" ht="24" hidden="1" customHeight="1">
      <c r="B46" s="121"/>
      <c r="C46" s="155" t="s">
        <v>212</v>
      </c>
      <c r="D46" s="226"/>
      <c r="E46" s="207">
        <f>IFERROR(F56,"")</f>
        <v>1.3103421068605202E-2</v>
      </c>
      <c r="F46" s="121"/>
      <c r="G46" s="262" t="s">
        <v>209</v>
      </c>
      <c r="H46" s="263"/>
      <c r="I46" s="264"/>
      <c r="J46" s="121"/>
      <c r="K46" s="224"/>
      <c r="L46" s="223"/>
      <c r="O46" s="121"/>
      <c r="P46" s="121"/>
      <c r="Q46" s="121"/>
      <c r="R46" s="121"/>
      <c r="S46" s="121"/>
      <c r="T46" s="121"/>
      <c r="U46" s="121"/>
      <c r="V46" s="121"/>
      <c r="W46" s="121"/>
      <c r="X46" s="121"/>
      <c r="Y46" s="280" t="s">
        <v>97</v>
      </c>
      <c r="Z46" s="280"/>
      <c r="AA46" s="127"/>
      <c r="AB46" s="121"/>
      <c r="AC46" s="121"/>
      <c r="AD46" s="121"/>
      <c r="AE46" s="121"/>
      <c r="AF46" s="121"/>
    </row>
    <row r="47" spans="2:216" ht="24.6" hidden="1" customHeight="1" thickBot="1">
      <c r="B47" s="121"/>
      <c r="C47" s="227" t="s">
        <v>210</v>
      </c>
      <c r="D47" s="228"/>
      <c r="E47" s="207">
        <f>IFERROR(F57,"")</f>
        <v>5.7118860176255592E-3</v>
      </c>
      <c r="F47" s="121"/>
      <c r="G47" s="159" t="s">
        <v>213</v>
      </c>
      <c r="H47" s="229"/>
      <c r="I47" s="114">
        <f>IFERROR(L62,"")</f>
        <v>0.95488364801791192</v>
      </c>
      <c r="J47" s="121"/>
      <c r="K47" s="224"/>
      <c r="L47" s="223"/>
      <c r="O47" s="121"/>
      <c r="P47" s="121"/>
      <c r="Q47" s="121"/>
      <c r="R47" s="121"/>
      <c r="S47" s="248" t="s">
        <v>145</v>
      </c>
      <c r="T47" s="248"/>
      <c r="U47" s="248"/>
      <c r="V47" s="121"/>
      <c r="W47" s="121"/>
      <c r="X47" s="121"/>
      <c r="Y47" s="133"/>
      <c r="Z47" s="133" t="s">
        <v>3</v>
      </c>
      <c r="AA47" s="127"/>
      <c r="AB47" s="121"/>
      <c r="AC47" s="121"/>
      <c r="AD47" s="121"/>
      <c r="AE47" s="121"/>
      <c r="AF47" s="121"/>
    </row>
    <row r="48" spans="2:216" ht="21" hidden="1">
      <c r="B48" s="121"/>
      <c r="C48" s="230" t="s">
        <v>209</v>
      </c>
      <c r="D48" s="231"/>
      <c r="E48" s="208"/>
      <c r="F48" s="121"/>
      <c r="G48" s="121"/>
      <c r="H48" s="121"/>
      <c r="I48" s="121"/>
      <c r="J48" s="121"/>
      <c r="K48" s="224"/>
      <c r="L48" s="223"/>
      <c r="O48" s="121"/>
      <c r="P48" s="121"/>
      <c r="Q48" s="121"/>
      <c r="R48" s="121"/>
      <c r="S48" s="248" t="s">
        <v>98</v>
      </c>
      <c r="T48" s="248"/>
      <c r="U48" s="157">
        <v>2.48</v>
      </c>
      <c r="V48" s="121"/>
      <c r="W48" s="158"/>
      <c r="X48" s="121"/>
      <c r="Y48" s="133" t="s">
        <v>5</v>
      </c>
      <c r="Z48" s="133" t="e">
        <f>0.0000472912571538526*(V28*V28) - 0.0143907820290028*V28 + 2.0275145422229</f>
        <v>#VALUE!</v>
      </c>
      <c r="AA48" s="127"/>
      <c r="AB48" s="121"/>
      <c r="AC48" s="121"/>
      <c r="AD48" s="121"/>
      <c r="AE48" s="121"/>
      <c r="AF48" s="121"/>
    </row>
    <row r="49" spans="2:32" ht="21" hidden="1">
      <c r="B49" s="121"/>
      <c r="C49" s="155" t="s">
        <v>211</v>
      </c>
      <c r="D49" s="226"/>
      <c r="E49" s="207">
        <f>IFERROR(L55,"")</f>
        <v>1.5668773660660558E-2</v>
      </c>
      <c r="F49" s="121"/>
      <c r="G49" s="121"/>
      <c r="H49" s="121"/>
      <c r="I49" s="121"/>
      <c r="J49" s="121"/>
      <c r="K49" s="224"/>
      <c r="L49" s="223"/>
      <c r="O49" s="121"/>
      <c r="P49" s="121"/>
      <c r="Q49" s="121"/>
      <c r="R49" s="121"/>
      <c r="S49" s="248" t="s">
        <v>98</v>
      </c>
      <c r="T49" s="248"/>
      <c r="U49" s="161">
        <v>1.7849999999999999</v>
      </c>
      <c r="V49" s="121"/>
      <c r="W49" s="158"/>
      <c r="X49" s="121"/>
      <c r="Y49" s="162"/>
      <c r="Z49" s="162"/>
      <c r="AA49" s="127"/>
      <c r="AB49" s="127"/>
      <c r="AC49" s="121"/>
      <c r="AD49" s="121"/>
      <c r="AE49" s="121"/>
      <c r="AF49" s="121"/>
    </row>
    <row r="50" spans="2:32" ht="23.1" hidden="1" customHeight="1">
      <c r="B50" s="121"/>
      <c r="C50" s="227" t="s">
        <v>212</v>
      </c>
      <c r="D50" s="226"/>
      <c r="E50" s="207">
        <f>IFERROR(L56,"")</f>
        <v>1.3111449798784142E-2</v>
      </c>
      <c r="F50" s="121"/>
      <c r="G50" s="121"/>
      <c r="H50" s="121"/>
      <c r="I50" s="121"/>
      <c r="J50" s="121"/>
      <c r="K50" s="224"/>
      <c r="L50" s="223"/>
      <c r="O50" s="121"/>
      <c r="P50" s="121"/>
      <c r="Q50" s="121"/>
      <c r="R50" s="121"/>
      <c r="S50" s="121"/>
      <c r="T50" s="121"/>
      <c r="U50" s="121"/>
      <c r="V50" s="121"/>
      <c r="W50" s="158"/>
      <c r="X50" s="121"/>
      <c r="Y50" s="127"/>
      <c r="Z50" s="127"/>
      <c r="AA50" s="127"/>
      <c r="AB50" s="127"/>
      <c r="AC50" s="121"/>
      <c r="AD50" s="121"/>
      <c r="AE50" s="121"/>
      <c r="AF50" s="121"/>
    </row>
    <row r="51" spans="2:32" ht="21.75" hidden="1" thickBot="1">
      <c r="B51" s="121"/>
      <c r="C51" s="232" t="s">
        <v>210</v>
      </c>
      <c r="D51" s="233"/>
      <c r="E51" s="209">
        <f>IFERROR(L57,"")</f>
        <v>5.6986491780245674E-3</v>
      </c>
      <c r="F51" s="121"/>
      <c r="G51" s="121"/>
      <c r="H51" s="121"/>
      <c r="I51" s="121"/>
      <c r="J51" s="121"/>
      <c r="K51" s="224"/>
      <c r="L51" s="223"/>
      <c r="O51" s="121"/>
      <c r="P51" s="121"/>
      <c r="Q51" s="121"/>
      <c r="R51" s="121"/>
      <c r="S51" s="121"/>
      <c r="T51" s="121"/>
      <c r="U51" s="121"/>
      <c r="V51" s="121"/>
      <c r="W51" s="158"/>
      <c r="X51" s="121"/>
      <c r="Y51" s="127"/>
      <c r="Z51" s="127"/>
      <c r="AA51" s="127"/>
      <c r="AB51" s="127"/>
      <c r="AC51" s="121"/>
      <c r="AD51" s="121"/>
      <c r="AE51" s="121"/>
      <c r="AF51" s="121"/>
    </row>
    <row r="52" spans="2:32" ht="21.75" hidden="1" thickBot="1">
      <c r="B52" s="121"/>
      <c r="C52" s="229"/>
      <c r="D52" s="233"/>
      <c r="E52" s="206"/>
      <c r="F52" s="121"/>
      <c r="G52" s="121"/>
      <c r="H52" s="121"/>
      <c r="I52" s="121"/>
      <c r="J52" s="121"/>
      <c r="K52" s="224"/>
      <c r="L52" s="223"/>
      <c r="O52" s="121"/>
      <c r="P52" s="121"/>
      <c r="Q52" s="121"/>
      <c r="R52" s="121"/>
      <c r="S52" s="121"/>
      <c r="T52" s="121"/>
      <c r="U52" s="121"/>
      <c r="V52" s="121"/>
      <c r="W52" s="121"/>
      <c r="X52" s="121"/>
      <c r="Y52" s="127"/>
      <c r="Z52" s="127"/>
      <c r="AA52" s="127"/>
      <c r="AB52" s="127"/>
      <c r="AC52" s="121"/>
      <c r="AD52" s="121"/>
      <c r="AE52" s="121"/>
      <c r="AF52" s="121"/>
    </row>
    <row r="53" spans="2:32" ht="21.75" hidden="1" thickBot="1">
      <c r="B53" s="169" t="s">
        <v>94</v>
      </c>
      <c r="C53" s="169"/>
      <c r="D53" s="169"/>
      <c r="E53" s="169"/>
      <c r="F53" s="169"/>
      <c r="G53" s="121"/>
      <c r="H53" s="169" t="s">
        <v>93</v>
      </c>
      <c r="I53" s="169"/>
      <c r="J53" s="169"/>
      <c r="K53" s="169"/>
      <c r="L53" s="169"/>
      <c r="O53" s="121"/>
      <c r="P53" s="121"/>
      <c r="Q53" s="121"/>
      <c r="R53" s="121"/>
      <c r="S53" s="121"/>
      <c r="T53" s="158"/>
      <c r="U53" s="121"/>
      <c r="V53" s="121"/>
      <c r="W53" s="121"/>
      <c r="X53" s="121"/>
      <c r="Y53" s="121"/>
      <c r="Z53" s="121"/>
      <c r="AA53" s="121"/>
      <c r="AB53" s="121"/>
      <c r="AC53" s="121"/>
      <c r="AD53" s="121"/>
      <c r="AE53" s="121"/>
      <c r="AF53" s="121"/>
    </row>
    <row r="54" spans="2:32" ht="39.75" hidden="1" thickBot="1">
      <c r="B54" s="170"/>
      <c r="C54" s="170"/>
      <c r="D54" s="82" t="s">
        <v>207</v>
      </c>
      <c r="E54" s="83" t="s">
        <v>96</v>
      </c>
      <c r="F54" s="171"/>
      <c r="G54" s="121"/>
      <c r="H54" s="170"/>
      <c r="I54" s="170"/>
      <c r="J54" s="84" t="s">
        <v>207</v>
      </c>
      <c r="K54" s="85" t="s">
        <v>96</v>
      </c>
      <c r="L54" s="172"/>
      <c r="O54" s="121"/>
      <c r="P54" s="121"/>
      <c r="Q54" s="121"/>
      <c r="R54" s="121"/>
      <c r="S54" s="121"/>
      <c r="T54" s="158"/>
      <c r="U54" s="121"/>
      <c r="V54" s="121"/>
      <c r="W54" s="121"/>
      <c r="X54" s="121"/>
      <c r="Y54" s="121"/>
      <c r="Z54" s="121"/>
      <c r="AA54" s="121"/>
      <c r="AB54" s="121"/>
      <c r="AC54" s="121"/>
      <c r="AD54" s="121"/>
      <c r="AE54" s="121"/>
      <c r="AF54" s="121"/>
    </row>
    <row r="55" spans="2:32" ht="19.5" hidden="1">
      <c r="B55" s="171" t="s">
        <v>146</v>
      </c>
      <c r="C55" s="170"/>
      <c r="D55" s="173">
        <v>1</v>
      </c>
      <c r="E55" s="174">
        <f>IF($E$6="Live", 'Current Performance - NE '!K5/'FW - Projected Performance - NE'!K6,'Current Performance - NE '!K5/'FW - Projected Performance - NE'!K17)</f>
        <v>0.98460894208583871</v>
      </c>
      <c r="F55" s="174">
        <f>(D55-E55)/E55</f>
        <v>1.5631645474960036E-2</v>
      </c>
      <c r="G55" s="121"/>
      <c r="H55" s="171" t="s">
        <v>146</v>
      </c>
      <c r="I55" s="170"/>
      <c r="J55" s="173">
        <v>1</v>
      </c>
      <c r="K55" s="174">
        <f>'Current Performance - NE '!K5/'FT - Projected Performance - NE'!K5</f>
        <v>0.984572949304932</v>
      </c>
      <c r="L55" s="174">
        <f>(J55-K55)/K55</f>
        <v>1.5668773660660558E-2</v>
      </c>
      <c r="O55" s="121"/>
      <c r="P55" s="121"/>
      <c r="Q55" s="121"/>
      <c r="R55" s="121"/>
      <c r="S55" s="121"/>
      <c r="T55" s="158"/>
      <c r="U55" s="121"/>
      <c r="V55" s="121"/>
      <c r="W55" s="121"/>
      <c r="X55" s="121"/>
      <c r="Y55" s="121"/>
      <c r="Z55" s="121"/>
      <c r="AA55" s="121"/>
      <c r="AB55" s="121"/>
      <c r="AC55" s="121"/>
      <c r="AD55" s="121"/>
      <c r="AE55" s="121"/>
      <c r="AF55" s="121"/>
    </row>
    <row r="56" spans="2:32" ht="19.5" hidden="1">
      <c r="B56" s="171" t="s">
        <v>147</v>
      </c>
      <c r="C56" s="170"/>
      <c r="D56" s="173">
        <v>1</v>
      </c>
      <c r="E56" s="174">
        <f>IF($E$6="Live",'FW - Projected Performance - NE'!K7/'Current Performance - NE '!K6,'FW - Projected Performance - NE'!K18/'Current Performance - NE '!K6)</f>
        <v>0.98706605782183232</v>
      </c>
      <c r="F56" s="234">
        <f>(D56-E56)/E56</f>
        <v>1.3103421068605202E-2</v>
      </c>
      <c r="G56" s="121"/>
      <c r="H56" s="171" t="s">
        <v>147</v>
      </c>
      <c r="I56" s="170"/>
      <c r="J56" s="173">
        <v>1</v>
      </c>
      <c r="K56" s="174">
        <f>'FT - Projected Performance - NE'!K6/'Current Performance - NE '!K6</f>
        <v>0.98705823549680716</v>
      </c>
      <c r="L56" s="175">
        <f>(J56-K56)/K56</f>
        <v>1.3111449798784142E-2</v>
      </c>
      <c r="O56" s="121"/>
      <c r="P56" s="121"/>
      <c r="Q56" s="121"/>
      <c r="R56" s="121"/>
      <c r="S56" s="121"/>
      <c r="T56" s="158"/>
      <c r="U56" s="121"/>
      <c r="V56" s="121"/>
      <c r="W56" s="121"/>
      <c r="X56" s="121"/>
      <c r="Y56" s="121"/>
      <c r="Z56" s="121"/>
      <c r="AA56" s="121"/>
      <c r="AB56" s="121"/>
      <c r="AC56" s="121"/>
      <c r="AD56" s="121"/>
      <c r="AE56" s="121"/>
      <c r="AF56" s="121"/>
    </row>
    <row r="57" spans="2:32" ht="19.5" hidden="1">
      <c r="B57" s="86" t="s">
        <v>210</v>
      </c>
      <c r="C57" s="86"/>
      <c r="D57" s="171">
        <f>'FW - Projected Performance - NE'!B43</f>
        <v>73.820462434686675</v>
      </c>
      <c r="E57" s="87">
        <f>'Current Performance - NE '!B36</f>
        <v>73.401203128858057</v>
      </c>
      <c r="F57" s="171">
        <f>(D57-E57)/E57</f>
        <v>5.7118860176255592E-3</v>
      </c>
      <c r="G57" s="121"/>
      <c r="H57" s="86" t="s">
        <v>210</v>
      </c>
      <c r="I57" s="86"/>
      <c r="J57" s="87">
        <f>'FT - Projected Performance - NE'!B33</f>
        <v>73.819490834734339</v>
      </c>
      <c r="K57" s="87">
        <f>'Current Performance - NE '!B36</f>
        <v>73.401203128858057</v>
      </c>
      <c r="L57" s="176">
        <f>(J57-K57)/K57</f>
        <v>5.6986491780245674E-3</v>
      </c>
      <c r="O57" s="121"/>
      <c r="P57" s="121"/>
      <c r="Q57" s="121"/>
      <c r="R57" s="121"/>
      <c r="S57" s="121"/>
      <c r="T57" s="121"/>
      <c r="U57" s="121"/>
      <c r="V57" s="121"/>
      <c r="W57" s="121"/>
      <c r="X57" s="121"/>
      <c r="Y57" s="121"/>
      <c r="Z57" s="121"/>
      <c r="AA57" s="121"/>
      <c r="AB57" s="121"/>
      <c r="AC57" s="121"/>
      <c r="AD57" s="121"/>
      <c r="AE57" s="121"/>
      <c r="AF57" s="121"/>
    </row>
    <row r="58" spans="2:32" ht="19.5" hidden="1">
      <c r="B58" s="177" t="s">
        <v>19</v>
      </c>
      <c r="C58" s="178"/>
      <c r="D58" s="179"/>
      <c r="E58" s="171"/>
      <c r="F58" s="171"/>
      <c r="G58" s="121"/>
      <c r="H58" s="177" t="s">
        <v>19</v>
      </c>
      <c r="I58" s="178"/>
      <c r="J58" s="179"/>
      <c r="K58" s="171"/>
      <c r="L58" s="171"/>
      <c r="O58" s="121"/>
      <c r="P58" s="121"/>
      <c r="Q58" s="121"/>
      <c r="R58" s="121"/>
      <c r="S58" s="121"/>
      <c r="T58" s="121"/>
      <c r="U58" s="121"/>
      <c r="V58" s="121"/>
      <c r="W58" s="121"/>
      <c r="X58" s="121"/>
      <c r="Y58" s="121"/>
      <c r="Z58" s="121"/>
      <c r="AA58" s="121"/>
      <c r="AB58" s="121"/>
      <c r="AC58" s="121"/>
      <c r="AD58" s="121"/>
      <c r="AE58" s="121"/>
      <c r="AF58" s="121"/>
    </row>
    <row r="59" spans="2:32" ht="19.5" hidden="1">
      <c r="B59" s="180" t="s">
        <v>20</v>
      </c>
      <c r="C59" s="178"/>
      <c r="D59" s="181">
        <f>IF($E$6="Live",'FW - Projected Performance - NE'!K11,'FW - Projected Performance - NE'!K22)</f>
        <v>73.942045815312909</v>
      </c>
      <c r="E59" s="182">
        <f>'Current Performance - NE '!K10</f>
        <v>74.259417201497314</v>
      </c>
      <c r="F59" s="171"/>
      <c r="G59" s="121"/>
      <c r="H59" s="180" t="s">
        <v>20</v>
      </c>
      <c r="I59" s="178"/>
      <c r="J59" s="181">
        <f>'FT - Projected Performance - NE'!K10</f>
        <v>74.981092335170089</v>
      </c>
      <c r="K59" s="182">
        <f>'Current Performance - NE '!K10</f>
        <v>74.259417201497314</v>
      </c>
      <c r="L59" s="171"/>
      <c r="O59" s="121"/>
      <c r="P59" s="121"/>
      <c r="Q59" s="121"/>
      <c r="R59" s="121"/>
      <c r="S59" s="121"/>
      <c r="T59" s="121"/>
      <c r="U59" s="121"/>
      <c r="V59" s="121"/>
      <c r="W59" s="121"/>
      <c r="X59" s="121"/>
      <c r="Y59" s="121"/>
      <c r="Z59" s="121"/>
      <c r="AA59" s="121"/>
      <c r="AB59" s="121"/>
      <c r="AC59" s="121"/>
      <c r="AD59" s="121"/>
      <c r="AE59" s="121"/>
    </row>
    <row r="60" spans="2:32" ht="19.5" hidden="1">
      <c r="B60" s="171" t="s">
        <v>21</v>
      </c>
      <c r="C60" s="171"/>
      <c r="D60" s="181">
        <f>IF($E$6="Live",'FW - Projected Performance - NE'!K12,'FW - Projected Performance - NE'!K23)</f>
        <v>87.117840380837208</v>
      </c>
      <c r="E60" s="182">
        <f>'Current Performance - NE '!K11</f>
        <v>87.641171116520795</v>
      </c>
      <c r="F60" s="171"/>
      <c r="G60" s="121"/>
      <c r="H60" s="184" t="s">
        <v>21</v>
      </c>
      <c r="I60" s="184"/>
      <c r="J60" s="185">
        <f>'FT - Projected Performance - NE'!K11</f>
        <v>88.362846250193556</v>
      </c>
      <c r="K60" s="185">
        <f>'Current Performance - NE '!K11</f>
        <v>87.641171116520795</v>
      </c>
      <c r="L60" s="184"/>
      <c r="O60" s="121"/>
      <c r="P60" s="121"/>
      <c r="Q60" s="121"/>
      <c r="R60" s="121"/>
      <c r="S60" s="121"/>
      <c r="T60" s="121"/>
      <c r="U60" s="121"/>
      <c r="V60" s="121"/>
      <c r="W60" s="121"/>
      <c r="X60" s="121"/>
      <c r="Y60" s="121"/>
      <c r="Z60" s="121"/>
      <c r="AA60" s="121"/>
      <c r="AB60" s="121"/>
      <c r="AC60" s="121"/>
      <c r="AD60" s="121"/>
      <c r="AE60" s="121"/>
    </row>
    <row r="61" spans="2:32" ht="21" hidden="1">
      <c r="B61" s="171" t="s">
        <v>22</v>
      </c>
      <c r="C61" s="171"/>
      <c r="D61" s="181">
        <f>IF($E$6="Live",'FW - Projected Performance - NE'!K13,'FW - Projected Performance - NE'!K24)</f>
        <v>130</v>
      </c>
      <c r="E61" s="182">
        <f>IF($E$6="Live",'Current Performance - NE '!K12,'Current Performance - NE '!K15)</f>
        <v>130</v>
      </c>
      <c r="F61" s="88" t="s">
        <v>23</v>
      </c>
      <c r="G61" s="121"/>
      <c r="H61" s="184" t="s">
        <v>22</v>
      </c>
      <c r="I61" s="184"/>
      <c r="J61" s="185">
        <f>IF($E$6="Live",'FT - Projected Performance - NE'!K12,'FT - Projected Performance - NE'!K16)</f>
        <v>131.67655878169069</v>
      </c>
      <c r="K61" s="185">
        <f>IF($E$6="Live",'Current Performance - NE '!K12,'Current Performance - NE '!K15)</f>
        <v>130</v>
      </c>
      <c r="L61" s="88" t="s">
        <v>23</v>
      </c>
      <c r="O61" s="121"/>
      <c r="P61" s="121"/>
      <c r="Q61" s="121"/>
      <c r="R61" s="121"/>
      <c r="S61" s="121"/>
      <c r="T61" s="121"/>
      <c r="U61" s="121"/>
      <c r="V61" s="121"/>
      <c r="W61" s="121"/>
      <c r="X61" s="121"/>
      <c r="Y61" s="121"/>
      <c r="Z61" s="121"/>
      <c r="AA61" s="121"/>
      <c r="AB61" s="121"/>
      <c r="AC61" s="121"/>
      <c r="AD61" s="121"/>
      <c r="AE61" s="121"/>
    </row>
    <row r="62" spans="2:32" ht="21" hidden="1">
      <c r="B62" s="184" t="s">
        <v>24</v>
      </c>
      <c r="C62" s="184"/>
      <c r="D62" s="181">
        <f>IF($E$6="Live",'FW - Projected Performance - NE'!K14,'FW - Projected Performance - NE'!$K$25)</f>
        <v>56.057954184687091</v>
      </c>
      <c r="E62" s="185">
        <f>IF($E$6="Live",'Current Performance - NE '!K13,'Current Performance - NE '!K16)</f>
        <v>55.740582798502686</v>
      </c>
      <c r="F62" s="89">
        <f>D62-E62</f>
        <v>0.31737138618440497</v>
      </c>
      <c r="G62" s="121"/>
      <c r="H62" s="184" t="s">
        <v>24</v>
      </c>
      <c r="I62" s="184"/>
      <c r="J62" s="185">
        <f>IF($E$6="Live",'FT - Projected Performance - NE'!K13,'FT - Projected Performance - NE'!K17)</f>
        <v>56.695466446520598</v>
      </c>
      <c r="K62" s="185">
        <f>IF($E$6="Live",'Current Performance - NE '!K13,'Current Performance - NE '!K16)</f>
        <v>55.740582798502686</v>
      </c>
      <c r="L62" s="89">
        <f>J62-K62</f>
        <v>0.95488364801791192</v>
      </c>
      <c r="P62" s="121"/>
      <c r="Q62" s="121"/>
      <c r="R62" s="121"/>
      <c r="S62" s="168"/>
      <c r="T62" s="121"/>
      <c r="U62" s="121"/>
      <c r="V62" s="121"/>
      <c r="W62" s="121"/>
      <c r="X62" s="121"/>
      <c r="Y62" s="121"/>
      <c r="Z62" s="121"/>
      <c r="AA62" s="121"/>
      <c r="AB62" s="121"/>
      <c r="AC62" s="121"/>
      <c r="AD62" s="121"/>
      <c r="AE62" s="121"/>
    </row>
    <row r="63" spans="2:32" ht="21.75" hidden="1" thickBot="1">
      <c r="B63" s="186" t="s">
        <v>25</v>
      </c>
      <c r="C63" s="186"/>
      <c r="D63" s="187">
        <f>IF($E$6="Live",'FW - Projected Performance - NE'!K15,'FW - Projected Performance - NE'!K26)</f>
        <v>42.882159619162792</v>
      </c>
      <c r="E63" s="188">
        <f>IF($E$6="Live",'Current Performance - NE '!K14,'Current Performance - NE '!K17)</f>
        <v>42.358828883479205</v>
      </c>
      <c r="F63" s="90">
        <f>D63-E63</f>
        <v>0.52333073568358657</v>
      </c>
      <c r="G63" s="121"/>
      <c r="H63" s="186" t="s">
        <v>25</v>
      </c>
      <c r="I63" s="186"/>
      <c r="J63" s="188">
        <f>IF($E$6="Live",'FT - Projected Performance - NE'!K14,'FT - Projected Performance - NE'!K18)</f>
        <v>43.313712531497131</v>
      </c>
      <c r="K63" s="188">
        <f>IF($E$6="Live",'Current Performance - NE '!K14,'Current Performance - NE '!K17)</f>
        <v>42.358828883479205</v>
      </c>
      <c r="L63" s="90">
        <f>J63-K63</f>
        <v>0.95488364801792613</v>
      </c>
      <c r="P63" s="121"/>
      <c r="Q63" s="121"/>
      <c r="R63" s="121"/>
      <c r="S63" s="168"/>
      <c r="T63" s="121"/>
      <c r="U63" s="121"/>
      <c r="V63" s="121"/>
      <c r="W63" s="121"/>
      <c r="X63" s="121"/>
      <c r="Y63" s="121"/>
      <c r="Z63" s="121"/>
      <c r="AA63" s="121"/>
      <c r="AB63" s="121"/>
      <c r="AC63" s="121"/>
      <c r="AD63" s="121"/>
      <c r="AE63" s="121"/>
    </row>
    <row r="64" spans="2:32" hidden="1">
      <c r="B64" s="127"/>
      <c r="C64" s="183"/>
      <c r="D64" s="183"/>
      <c r="E64" s="183"/>
      <c r="F64" s="183"/>
      <c r="G64" s="183"/>
      <c r="H64" s="127"/>
      <c r="I64" s="183"/>
      <c r="J64" s="183"/>
      <c r="K64" s="183"/>
      <c r="L64" s="183"/>
      <c r="M64" s="183"/>
      <c r="P64" s="121"/>
      <c r="Q64" s="121"/>
      <c r="R64" s="121"/>
      <c r="S64" s="121"/>
      <c r="T64" s="121"/>
      <c r="U64" s="121"/>
      <c r="V64" s="121"/>
      <c r="W64" s="121"/>
      <c r="X64" s="121"/>
      <c r="Y64" s="121"/>
      <c r="Z64" s="121"/>
      <c r="AA64" s="121"/>
      <c r="AB64" s="121"/>
      <c r="AC64" s="121"/>
      <c r="AD64" s="121"/>
      <c r="AE64" s="121"/>
    </row>
    <row r="65" spans="2:31" hidden="1">
      <c r="B65" s="183"/>
      <c r="C65" s="183"/>
      <c r="D65" s="183"/>
      <c r="E65" s="183"/>
      <c r="F65" s="183"/>
      <c r="G65" s="183"/>
      <c r="H65" s="183"/>
      <c r="I65" s="183"/>
      <c r="J65" s="183"/>
      <c r="K65" s="183"/>
      <c r="L65" s="183"/>
      <c r="M65" s="183"/>
      <c r="P65" s="121"/>
      <c r="Q65" s="121"/>
      <c r="R65" s="121"/>
      <c r="S65" s="121"/>
      <c r="T65" s="121"/>
      <c r="U65" s="121"/>
      <c r="V65" s="121"/>
      <c r="W65" s="121"/>
      <c r="X65" s="121"/>
      <c r="Y65" s="121"/>
      <c r="Z65" s="121"/>
      <c r="AA65" s="121"/>
      <c r="AB65" s="121"/>
      <c r="AC65" s="121"/>
      <c r="AD65" s="121"/>
      <c r="AE65" s="121"/>
    </row>
    <row r="66" spans="2:31" hidden="1">
      <c r="B66" s="195" t="str">
        <f>IF(C66=0,"not impact",IF(E45&lt;0,"reduce","increase"))</f>
        <v>increase</v>
      </c>
      <c r="C66" s="196">
        <f>ROUND(IF(E45&lt;0,(-E45*100),(E45*100)),2)</f>
        <v>1.56</v>
      </c>
      <c r="D66" s="197" t="s">
        <v>228</v>
      </c>
      <c r="E66" s="183"/>
      <c r="F66" s="183"/>
      <c r="G66" s="183"/>
      <c r="H66" s="183"/>
      <c r="I66" s="183"/>
      <c r="J66" s="183"/>
      <c r="K66" s="183"/>
      <c r="L66" s="183"/>
      <c r="M66" s="183"/>
      <c r="P66" s="121"/>
      <c r="Q66" s="121"/>
      <c r="R66" s="121"/>
      <c r="S66" s="121"/>
      <c r="T66" s="121"/>
      <c r="U66" s="121"/>
      <c r="V66" s="121"/>
      <c r="W66" s="121"/>
      <c r="X66" s="121"/>
      <c r="Y66" s="121"/>
      <c r="Z66" s="121"/>
      <c r="AA66" s="121"/>
      <c r="AB66" s="121"/>
      <c r="AC66" s="121"/>
      <c r="AD66" s="121"/>
      <c r="AE66" s="121"/>
    </row>
    <row r="67" spans="2:31" hidden="1">
      <c r="B67" s="195" t="str">
        <f>IF(C67=0,"not impact",IF(E46&lt;0,"worsen","improve"))</f>
        <v>improve</v>
      </c>
      <c r="C67" s="196">
        <f>ROUND(IF(E46&lt;0,(-E46*100),(E46*100)),2)</f>
        <v>1.31</v>
      </c>
      <c r="D67" s="197" t="s">
        <v>228</v>
      </c>
      <c r="E67" s="183"/>
      <c r="F67" s="183"/>
      <c r="G67" s="183"/>
      <c r="H67" s="183"/>
      <c r="I67" s="183"/>
      <c r="J67" s="183"/>
      <c r="K67" s="183"/>
      <c r="L67" s="183"/>
      <c r="M67" s="183"/>
      <c r="P67" s="121"/>
      <c r="Q67" s="121"/>
      <c r="R67" s="121"/>
      <c r="S67" s="121"/>
      <c r="T67" s="121"/>
      <c r="U67" s="121"/>
      <c r="V67" s="121"/>
      <c r="W67" s="121"/>
      <c r="X67" s="121"/>
      <c r="Y67" s="121"/>
      <c r="Z67" s="121"/>
      <c r="AA67" s="121"/>
      <c r="AB67" s="121"/>
      <c r="AC67" s="121"/>
      <c r="AD67" s="121"/>
      <c r="AE67" s="121"/>
    </row>
    <row r="68" spans="2:31" hidden="1">
      <c r="B68" s="195" t="str">
        <f>IF(C68=0,"not impact",IF(E47&lt;0,"worsen","improve"))</f>
        <v>improve</v>
      </c>
      <c r="C68" s="196">
        <f>ROUND(IF(E47&lt;0,(-E47*100),(E47*100)),2)</f>
        <v>0.56999999999999995</v>
      </c>
      <c r="D68" s="197" t="s">
        <v>228</v>
      </c>
      <c r="E68" s="183"/>
      <c r="F68" s="183"/>
      <c r="G68" s="183"/>
      <c r="H68" s="183"/>
      <c r="I68" s="183"/>
      <c r="J68" s="183"/>
      <c r="K68" s="183"/>
      <c r="L68" s="183"/>
      <c r="M68" s="183"/>
      <c r="P68" s="121"/>
      <c r="Q68" s="121"/>
      <c r="R68" s="121"/>
      <c r="S68" s="121"/>
      <c r="T68" s="121"/>
      <c r="U68" s="121"/>
      <c r="V68" s="121"/>
      <c r="W68" s="121"/>
      <c r="X68" s="121"/>
      <c r="Y68" s="121"/>
      <c r="Z68" s="121"/>
      <c r="AA68" s="121"/>
      <c r="AB68" s="121"/>
      <c r="AC68" s="121"/>
      <c r="AD68" s="121"/>
      <c r="AE68" s="121"/>
    </row>
    <row r="69" spans="2:31" hidden="1">
      <c r="B69" s="183"/>
      <c r="C69" s="183"/>
      <c r="D69" s="183"/>
      <c r="E69" s="183"/>
      <c r="F69" s="183"/>
      <c r="G69" s="183"/>
      <c r="H69" s="183"/>
      <c r="I69" s="183"/>
      <c r="J69" s="183"/>
      <c r="K69" s="183"/>
      <c r="L69" s="183"/>
      <c r="M69" s="183"/>
      <c r="P69" s="121"/>
      <c r="Q69" s="121"/>
      <c r="R69" s="121"/>
      <c r="S69" s="121"/>
      <c r="T69" s="121"/>
      <c r="U69" s="121"/>
      <c r="V69" s="121"/>
      <c r="W69" s="121"/>
      <c r="X69" s="121"/>
      <c r="Y69" s="121"/>
      <c r="Z69" s="121"/>
      <c r="AA69" s="121"/>
      <c r="AB69" s="121"/>
      <c r="AC69" s="121"/>
      <c r="AD69" s="121"/>
      <c r="AE69" s="121"/>
    </row>
    <row r="70" spans="2:31" hidden="1">
      <c r="B70" s="195" t="str">
        <f>IF(C70=0,"not impact",IF(E49&lt;0,"reduce","increase"))</f>
        <v>increase</v>
      </c>
      <c r="C70" s="196">
        <f>ROUND(IF(E49&lt;0,(-E49*100),(E49*100)),2)</f>
        <v>1.57</v>
      </c>
      <c r="D70" s="197" t="s">
        <v>228</v>
      </c>
      <c r="E70" s="183"/>
      <c r="F70" s="183"/>
      <c r="G70" s="183"/>
      <c r="H70" s="183"/>
      <c r="I70" s="183"/>
      <c r="J70" s="183"/>
      <c r="K70" s="183"/>
      <c r="L70" s="183"/>
      <c r="M70" s="183"/>
      <c r="P70" s="121"/>
      <c r="Q70" s="121"/>
      <c r="R70" s="121"/>
      <c r="S70" s="121"/>
      <c r="T70" s="121"/>
      <c r="U70" s="121"/>
      <c r="V70" s="121"/>
      <c r="W70" s="121"/>
      <c r="X70" s="121"/>
      <c r="Y70" s="121"/>
      <c r="Z70" s="121"/>
      <c r="AA70" s="121"/>
      <c r="AB70" s="121"/>
      <c r="AC70" s="121"/>
      <c r="AD70" s="121"/>
      <c r="AE70" s="121"/>
    </row>
    <row r="71" spans="2:31" hidden="1">
      <c r="B71" s="195" t="str">
        <f>IF(C71=0,"not impact",IF(E50&lt;0,"worsen","improve"))</f>
        <v>improve</v>
      </c>
      <c r="C71" s="196">
        <f>ROUND(IF(E50&lt;0,(-E50*100),(E50*100)),2)</f>
        <v>1.31</v>
      </c>
      <c r="D71" s="197" t="s">
        <v>228</v>
      </c>
      <c r="E71" s="183"/>
      <c r="F71" s="183"/>
      <c r="G71" s="183"/>
      <c r="H71" s="183"/>
      <c r="I71" s="183"/>
      <c r="J71" s="183"/>
      <c r="K71" s="183"/>
      <c r="L71" s="183"/>
      <c r="M71" s="183"/>
      <c r="P71" s="121"/>
      <c r="Q71" s="121"/>
      <c r="R71" s="121"/>
      <c r="S71" s="121"/>
      <c r="T71" s="121"/>
      <c r="U71" s="121"/>
      <c r="V71" s="121"/>
      <c r="W71" s="121"/>
      <c r="X71" s="121"/>
      <c r="Y71" s="121"/>
      <c r="Z71" s="121"/>
      <c r="AA71" s="121"/>
      <c r="AB71" s="121"/>
      <c r="AC71" s="121"/>
      <c r="AD71" s="121"/>
      <c r="AE71" s="121"/>
    </row>
    <row r="72" spans="2:31" hidden="1">
      <c r="B72" s="195" t="str">
        <f>IF(C72=0,"not impact",IF(E51&lt;0,"worsen","improve"))</f>
        <v>improve</v>
      </c>
      <c r="C72" s="196">
        <f>ROUND(IF(E51&lt;0,(-E51*100),(E51*100)),2)</f>
        <v>0.56999999999999995</v>
      </c>
      <c r="D72" s="197" t="s">
        <v>228</v>
      </c>
      <c r="E72" s="183"/>
      <c r="F72" s="183"/>
      <c r="G72" s="183"/>
      <c r="H72" s="183"/>
      <c r="I72" s="183"/>
      <c r="J72" s="183"/>
      <c r="K72" s="183"/>
      <c r="L72" s="183"/>
      <c r="M72" s="183"/>
      <c r="P72" s="121"/>
      <c r="Q72" s="121"/>
      <c r="R72" s="121"/>
      <c r="S72" s="121"/>
      <c r="T72" s="121"/>
      <c r="U72" s="121"/>
      <c r="V72" s="121"/>
      <c r="W72" s="121"/>
      <c r="X72" s="121"/>
      <c r="Y72" s="121"/>
      <c r="Z72" s="121"/>
      <c r="AA72" s="121"/>
      <c r="AB72" s="121"/>
      <c r="AC72" s="121"/>
      <c r="AD72" s="121"/>
      <c r="AE72" s="121"/>
    </row>
    <row r="73" spans="2:31" hidden="1">
      <c r="B73" s="195" t="str">
        <f>IF(I45&lt;0,"; however, resulting in losses of $",", resulting in gains of $")</f>
        <v>, resulting in gains of $</v>
      </c>
      <c r="C73" s="196">
        <f>ROUND(IF(I45&lt;0,(-I45),(I45)),2)</f>
        <v>0.52</v>
      </c>
      <c r="D73" s="197" t="s">
        <v>229</v>
      </c>
      <c r="E73" s="198">
        <f>ROUND(I45,2)</f>
        <v>0.52</v>
      </c>
      <c r="F73" s="183"/>
      <c r="G73" s="183"/>
      <c r="H73" s="183"/>
      <c r="I73" s="183"/>
      <c r="J73" s="183"/>
      <c r="K73" s="183"/>
      <c r="L73" s="183"/>
      <c r="M73" s="183"/>
      <c r="P73" s="121"/>
      <c r="Q73" s="121"/>
      <c r="R73" s="121"/>
      <c r="S73" s="121"/>
      <c r="T73" s="121"/>
      <c r="U73" s="121"/>
      <c r="V73" s="121"/>
      <c r="W73" s="121"/>
      <c r="X73" s="121"/>
      <c r="Y73" s="121"/>
      <c r="Z73" s="121"/>
      <c r="AA73" s="121"/>
      <c r="AB73" s="121"/>
      <c r="AC73" s="121"/>
      <c r="AD73" s="121"/>
      <c r="AE73" s="121"/>
    </row>
    <row r="74" spans="2:31" hidden="1">
      <c r="B74" s="195" t="str">
        <f>IF(I47&lt;0,"; however, resulting in losses of $",", resulting in gains of $")</f>
        <v>, resulting in gains of $</v>
      </c>
      <c r="C74" s="196">
        <f>ROUND(IF(I47&lt;0,(-I47),(I47)),2)</f>
        <v>0.95</v>
      </c>
      <c r="D74" s="197" t="s">
        <v>229</v>
      </c>
      <c r="E74" s="198">
        <f>ROUND(I47,2)</f>
        <v>0.95</v>
      </c>
      <c r="F74" s="183"/>
      <c r="G74" s="183"/>
      <c r="H74" s="183"/>
      <c r="I74" s="183"/>
      <c r="J74" s="183"/>
      <c r="K74" s="183"/>
      <c r="L74" s="183"/>
      <c r="M74" s="183"/>
      <c r="P74" s="121"/>
      <c r="Q74" s="121"/>
      <c r="R74" s="121"/>
      <c r="S74" s="121"/>
      <c r="T74" s="121"/>
      <c r="U74" s="121"/>
      <c r="V74" s="121"/>
      <c r="W74" s="121"/>
      <c r="X74" s="121"/>
      <c r="Y74" s="121"/>
      <c r="Z74" s="121"/>
      <c r="AA74" s="121"/>
      <c r="AB74" s="121"/>
      <c r="AC74" s="121"/>
      <c r="AD74" s="121"/>
      <c r="AE74" s="121"/>
    </row>
    <row r="75" spans="2:31" hidden="1">
      <c r="B75" s="195" t="str">
        <f>IF(E73&lt;0,"In this scenario, it isn't economical to feed PIC STTD phosphorus biological levels.",IF(E73&gt;0,"In this scenario, it is economical to feed PIC STTD phosphorus biological levels.","In this scenario, feed the current STTD phosphorus levels or the biological STTD phosphorus levels do not differ in economics."))</f>
        <v>In this scenario, it is economical to feed PIC STTD phosphorus biological levels.</v>
      </c>
      <c r="C75" s="197"/>
      <c r="D75" s="197"/>
      <c r="E75" s="197"/>
      <c r="F75" s="183"/>
      <c r="G75" s="183"/>
      <c r="H75" s="183"/>
      <c r="I75" s="183"/>
      <c r="J75" s="183"/>
      <c r="K75" s="183"/>
      <c r="L75" s="183"/>
      <c r="M75" s="183"/>
      <c r="P75" s="121"/>
      <c r="Q75" s="121"/>
      <c r="R75" s="121"/>
      <c r="S75" s="121"/>
      <c r="T75" s="121"/>
      <c r="U75" s="121"/>
      <c r="V75" s="121"/>
      <c r="W75" s="121"/>
      <c r="X75" s="121"/>
      <c r="Y75" s="121"/>
      <c r="Z75" s="121"/>
      <c r="AA75" s="121"/>
      <c r="AB75" s="121"/>
      <c r="AC75" s="121"/>
      <c r="AD75" s="121"/>
      <c r="AE75" s="121"/>
    </row>
    <row r="76" spans="2:31" hidden="1">
      <c r="B76" s="195" t="str">
        <f>IF(E74&lt;0,"In this scenario, it isn't economical to feed PIC STTD phosphorus biological levels.",IF(E74&gt;0,"In this scenario, it is economical to feed PIC STTD phosphorus biological levels.","In this scenario, feed the current STTD phosphorus levels or the biological STTD phosphorus do not differ in economics."))</f>
        <v>In this scenario, it is economical to feed PIC STTD phosphorus biological levels.</v>
      </c>
      <c r="C76" s="197"/>
      <c r="D76" s="197"/>
      <c r="E76" s="197"/>
      <c r="F76" s="183"/>
      <c r="G76" s="183"/>
      <c r="H76" s="183"/>
      <c r="I76" s="183"/>
      <c r="J76" s="183"/>
      <c r="K76" s="183"/>
      <c r="L76" s="183"/>
      <c r="M76" s="183"/>
      <c r="O76" s="225"/>
      <c r="P76" s="183"/>
      <c r="Q76" s="183"/>
      <c r="R76" s="183"/>
      <c r="S76" s="183"/>
      <c r="T76" s="183"/>
      <c r="U76" s="183"/>
      <c r="V76" s="183"/>
      <c r="W76" s="183"/>
      <c r="X76" s="183"/>
      <c r="Y76" s="183"/>
      <c r="Z76" s="183"/>
      <c r="AA76" s="183"/>
      <c r="AB76" s="183"/>
      <c r="AC76" s="183"/>
      <c r="AD76" s="121"/>
      <c r="AE76" s="121"/>
    </row>
    <row r="77" spans="2:31" s="121" customFormat="1" ht="16.5" hidden="1" thickBot="1">
      <c r="B77" s="183"/>
      <c r="C77" s="183"/>
      <c r="D77" s="183"/>
      <c r="E77" s="183"/>
      <c r="F77" s="183"/>
      <c r="G77" s="183"/>
      <c r="H77" s="183"/>
      <c r="I77" s="183"/>
      <c r="J77" s="183"/>
      <c r="K77" s="183"/>
      <c r="L77" s="183"/>
      <c r="M77" s="183"/>
      <c r="O77" s="225"/>
      <c r="P77" s="183"/>
      <c r="Q77" s="183"/>
      <c r="R77" s="183"/>
      <c r="S77" s="183"/>
      <c r="T77" s="183"/>
      <c r="U77" s="183"/>
      <c r="V77" s="183"/>
      <c r="W77" s="183"/>
      <c r="X77" s="183"/>
      <c r="Y77" s="183"/>
      <c r="Z77" s="183"/>
      <c r="AA77" s="183"/>
      <c r="AB77" s="183"/>
      <c r="AC77" s="183"/>
    </row>
    <row r="78" spans="2:31" s="121" customFormat="1" hidden="1">
      <c r="B78" s="199">
        <f t="shared" ref="B78:C83" si="7">C15</f>
        <v>23</v>
      </c>
      <c r="C78" s="200">
        <f t="shared" si="7"/>
        <v>50</v>
      </c>
      <c r="D78" s="201">
        <f>IF(C78=0,0,1)</f>
        <v>1</v>
      </c>
      <c r="E78" s="183"/>
      <c r="F78" s="183"/>
      <c r="G78" s="183"/>
      <c r="H78" s="183"/>
      <c r="I78" s="183"/>
      <c r="J78" s="183"/>
      <c r="K78" s="183"/>
      <c r="L78" s="183"/>
      <c r="M78" s="183"/>
      <c r="O78" s="225"/>
      <c r="P78" s="183"/>
      <c r="Q78" s="183"/>
      <c r="R78" s="183"/>
      <c r="S78" s="183"/>
      <c r="T78" s="183"/>
      <c r="U78" s="183"/>
      <c r="V78" s="183"/>
      <c r="W78" s="183"/>
      <c r="X78" s="183"/>
      <c r="Y78" s="183"/>
      <c r="Z78" s="183"/>
      <c r="AA78" s="183"/>
      <c r="AB78" s="183"/>
      <c r="AC78" s="183"/>
    </row>
    <row r="79" spans="2:31" s="121" customFormat="1" hidden="1">
      <c r="B79" s="202">
        <f t="shared" si="7"/>
        <v>50</v>
      </c>
      <c r="C79" s="203">
        <f t="shared" si="7"/>
        <v>75</v>
      </c>
      <c r="D79" s="204">
        <f t="shared" ref="D79:D83" si="8">IF(C79=0,0,1)</f>
        <v>1</v>
      </c>
      <c r="E79" s="183"/>
      <c r="F79" s="183"/>
      <c r="G79" s="183"/>
      <c r="H79" s="183"/>
      <c r="I79" s="183"/>
      <c r="J79" s="183"/>
      <c r="K79" s="183"/>
      <c r="L79" s="183"/>
      <c r="M79" s="183"/>
      <c r="O79" s="225"/>
      <c r="P79" s="183"/>
      <c r="Q79" s="183"/>
      <c r="R79" s="183"/>
      <c r="S79" s="183"/>
      <c r="T79" s="183"/>
      <c r="U79" s="183"/>
      <c r="V79" s="183"/>
      <c r="W79" s="183"/>
      <c r="X79" s="183"/>
      <c r="Y79" s="183"/>
      <c r="Z79" s="183"/>
      <c r="AA79" s="183"/>
      <c r="AB79" s="183"/>
      <c r="AC79" s="183"/>
    </row>
    <row r="80" spans="2:31" s="121" customFormat="1" hidden="1">
      <c r="B80" s="202">
        <f t="shared" si="7"/>
        <v>75</v>
      </c>
      <c r="C80" s="203">
        <f t="shared" si="7"/>
        <v>90</v>
      </c>
      <c r="D80" s="204">
        <f t="shared" si="8"/>
        <v>1</v>
      </c>
      <c r="H80" s="183"/>
      <c r="O80" s="225"/>
      <c r="P80" s="183"/>
      <c r="Q80" s="183"/>
      <c r="R80" s="183"/>
      <c r="S80" s="183"/>
      <c r="T80" s="183"/>
      <c r="U80" s="183"/>
      <c r="V80" s="183"/>
      <c r="W80" s="183"/>
      <c r="X80" s="183"/>
      <c r="Y80" s="183"/>
      <c r="Z80" s="183"/>
      <c r="AA80" s="183"/>
      <c r="AB80" s="183"/>
      <c r="AC80" s="183"/>
    </row>
    <row r="81" spans="2:29" s="121" customFormat="1" hidden="1">
      <c r="B81" s="202">
        <f t="shared" si="7"/>
        <v>90</v>
      </c>
      <c r="C81" s="203">
        <f t="shared" si="7"/>
        <v>110</v>
      </c>
      <c r="D81" s="204">
        <f t="shared" si="8"/>
        <v>1</v>
      </c>
      <c r="O81" s="225"/>
      <c r="P81" s="183"/>
      <c r="Q81" s="183"/>
      <c r="R81" s="183"/>
      <c r="S81" s="183"/>
      <c r="T81" s="183"/>
      <c r="U81" s="183"/>
      <c r="V81" s="183"/>
      <c r="W81" s="183"/>
      <c r="X81" s="183"/>
      <c r="Y81" s="183"/>
      <c r="Z81" s="183"/>
      <c r="AA81" s="183"/>
      <c r="AB81" s="183"/>
      <c r="AC81" s="183"/>
    </row>
    <row r="82" spans="2:29" s="121" customFormat="1" hidden="1">
      <c r="B82" s="202">
        <f t="shared" si="7"/>
        <v>110</v>
      </c>
      <c r="C82" s="203">
        <f t="shared" si="7"/>
        <v>130</v>
      </c>
      <c r="D82" s="204">
        <f t="shared" si="8"/>
        <v>1</v>
      </c>
      <c r="O82" s="225"/>
      <c r="P82" s="183"/>
      <c r="Q82" s="183"/>
      <c r="R82" s="183"/>
      <c r="S82" s="183"/>
      <c r="T82" s="183"/>
      <c r="U82" s="183"/>
      <c r="V82" s="183"/>
      <c r="W82" s="183"/>
      <c r="X82" s="183"/>
      <c r="Y82" s="183"/>
      <c r="Z82" s="183"/>
      <c r="AA82" s="183"/>
      <c r="AB82" s="183"/>
      <c r="AC82" s="183"/>
    </row>
    <row r="83" spans="2:29" s="121" customFormat="1" hidden="1">
      <c r="B83" s="202" t="str">
        <f t="shared" si="7"/>
        <v/>
      </c>
      <c r="C83" s="203">
        <f t="shared" si="7"/>
        <v>0</v>
      </c>
      <c r="D83" s="204">
        <f t="shared" si="8"/>
        <v>0</v>
      </c>
      <c r="O83" s="225"/>
      <c r="P83" s="183"/>
      <c r="Q83" s="183"/>
      <c r="R83" s="183"/>
      <c r="S83" s="183"/>
      <c r="T83" s="183"/>
      <c r="U83" s="183"/>
      <c r="V83" s="183"/>
      <c r="W83" s="183"/>
      <c r="X83" s="183"/>
      <c r="Y83" s="183"/>
      <c r="Z83" s="183"/>
      <c r="AA83" s="183"/>
      <c r="AB83" s="183"/>
      <c r="AC83" s="183"/>
    </row>
    <row r="84" spans="2:29" s="121" customFormat="1" hidden="1">
      <c r="O84" s="225"/>
      <c r="P84" s="183"/>
      <c r="Q84" s="183"/>
      <c r="R84" s="183"/>
      <c r="S84" s="183"/>
      <c r="T84" s="183"/>
      <c r="U84" s="183"/>
      <c r="V84" s="183"/>
      <c r="W84" s="183"/>
      <c r="X84" s="183"/>
      <c r="Y84" s="183"/>
      <c r="Z84" s="183"/>
      <c r="AA84" s="183"/>
      <c r="AB84" s="183"/>
      <c r="AC84" s="183"/>
    </row>
    <row r="85" spans="2:29" s="121" customFormat="1" hidden="1">
      <c r="O85" s="225"/>
      <c r="P85" s="183"/>
      <c r="Q85" s="183"/>
      <c r="R85" s="183"/>
      <c r="S85" s="183"/>
      <c r="T85" s="183"/>
      <c r="U85" s="183"/>
      <c r="V85" s="183"/>
      <c r="W85" s="183"/>
      <c r="X85" s="183"/>
      <c r="Y85" s="183"/>
      <c r="Z85" s="183"/>
      <c r="AA85" s="183"/>
      <c r="AB85" s="183"/>
      <c r="AC85" s="183"/>
    </row>
    <row r="86" spans="2:29" s="121" customFormat="1">
      <c r="O86" s="225"/>
      <c r="P86" s="183"/>
      <c r="Q86" s="183"/>
      <c r="R86" s="183"/>
      <c r="S86" s="183"/>
      <c r="T86" s="183"/>
      <c r="U86" s="183"/>
      <c r="V86" s="183"/>
      <c r="W86" s="183"/>
      <c r="X86" s="183"/>
      <c r="Y86" s="183"/>
      <c r="Z86" s="183"/>
      <c r="AA86" s="183"/>
      <c r="AB86" s="183"/>
      <c r="AC86" s="183"/>
    </row>
    <row r="87" spans="2:29" s="121" customFormat="1">
      <c r="O87" s="225"/>
      <c r="P87" s="183"/>
      <c r="Q87" s="183"/>
      <c r="R87" s="183"/>
      <c r="S87" s="183"/>
      <c r="T87" s="183"/>
      <c r="U87" s="183"/>
      <c r="V87" s="183"/>
      <c r="W87" s="183"/>
      <c r="X87" s="183"/>
      <c r="Y87" s="183"/>
      <c r="Z87" s="183"/>
      <c r="AA87" s="183"/>
      <c r="AB87" s="183"/>
      <c r="AC87" s="183"/>
    </row>
    <row r="88" spans="2:29" s="121" customFormat="1">
      <c r="O88" s="225"/>
      <c r="P88" s="183"/>
      <c r="Q88" s="183"/>
      <c r="R88" s="183"/>
      <c r="S88" s="183"/>
      <c r="T88" s="183"/>
      <c r="U88" s="183"/>
      <c r="V88" s="183"/>
      <c r="W88" s="183"/>
      <c r="X88" s="183"/>
      <c r="Y88" s="183"/>
      <c r="Z88" s="183"/>
      <c r="AA88" s="183"/>
      <c r="AB88" s="183"/>
      <c r="AC88" s="183"/>
    </row>
    <row r="89" spans="2:29" s="121" customFormat="1">
      <c r="O89" s="183"/>
      <c r="P89" s="183"/>
      <c r="Q89" s="183"/>
      <c r="R89" s="183"/>
      <c r="S89" s="183"/>
      <c r="T89" s="183"/>
      <c r="U89" s="183"/>
      <c r="V89" s="183"/>
      <c r="W89" s="183"/>
      <c r="X89" s="183"/>
      <c r="Y89" s="183"/>
      <c r="Z89" s="183"/>
      <c r="AA89" s="183"/>
      <c r="AB89" s="183"/>
      <c r="AC89" s="183"/>
    </row>
    <row r="90" spans="2:29" s="121" customFormat="1">
      <c r="O90" s="183"/>
      <c r="P90" s="183"/>
      <c r="Q90" s="183"/>
      <c r="R90" s="183"/>
      <c r="S90" s="183"/>
      <c r="T90" s="183"/>
      <c r="U90" s="183"/>
      <c r="V90" s="183"/>
      <c r="W90" s="183"/>
      <c r="X90" s="183"/>
      <c r="Y90" s="183"/>
      <c r="Z90" s="183"/>
      <c r="AA90" s="183"/>
      <c r="AB90" s="183"/>
      <c r="AC90" s="183"/>
    </row>
    <row r="91" spans="2:29" s="121" customFormat="1"/>
    <row r="92" spans="2:29" s="121" customFormat="1"/>
    <row r="93" spans="2:29" s="121" customFormat="1"/>
    <row r="94" spans="2:29" s="121" customFormat="1"/>
    <row r="95" spans="2:29" s="121" customFormat="1"/>
    <row r="96" spans="2:29" s="121" customFormat="1"/>
    <row r="97" s="121" customFormat="1"/>
    <row r="98" s="121" customFormat="1"/>
    <row r="99" s="121" customFormat="1"/>
    <row r="100" s="121" customFormat="1"/>
    <row r="101" s="121" customFormat="1"/>
    <row r="102" s="121" customFormat="1"/>
    <row r="103" s="121" customFormat="1"/>
    <row r="104" s="121" customFormat="1"/>
    <row r="105" s="121" customFormat="1"/>
    <row r="106" s="121" customFormat="1"/>
    <row r="107" s="121" customFormat="1"/>
    <row r="108" s="121" customFormat="1"/>
    <row r="109" s="121" customFormat="1"/>
    <row r="110" s="121" customFormat="1"/>
    <row r="111" s="121" customFormat="1"/>
    <row r="112" s="121" customFormat="1"/>
    <row r="113" s="121" customFormat="1"/>
    <row r="114" s="121" customFormat="1"/>
    <row r="115" s="121" customFormat="1"/>
    <row r="116" s="121" customFormat="1"/>
    <row r="117" s="121" customFormat="1"/>
    <row r="118" s="121" customFormat="1"/>
    <row r="119" s="121" customFormat="1"/>
    <row r="120" s="121" customFormat="1"/>
    <row r="121" s="121" customFormat="1"/>
    <row r="122" s="121" customFormat="1"/>
    <row r="123" s="121" customFormat="1"/>
    <row r="124" s="121" customFormat="1"/>
    <row r="125" s="121" customFormat="1"/>
    <row r="126" s="121" customFormat="1"/>
    <row r="127" s="121" customFormat="1"/>
    <row r="128" s="121" customFormat="1"/>
    <row r="129" s="121" customFormat="1"/>
    <row r="130" s="121" customFormat="1"/>
    <row r="131" s="121" customFormat="1"/>
    <row r="132" s="121" customFormat="1"/>
    <row r="133" s="121" customFormat="1"/>
    <row r="134" s="121" customFormat="1"/>
    <row r="135" s="121" customFormat="1"/>
    <row r="136" s="121" customFormat="1"/>
    <row r="137" s="121" customFormat="1"/>
    <row r="138" s="121" customFormat="1"/>
    <row r="139" s="121" customFormat="1"/>
    <row r="140" s="121" customFormat="1"/>
    <row r="141" s="121" customFormat="1"/>
    <row r="142" s="121" customFormat="1"/>
    <row r="143" s="121" customFormat="1"/>
    <row r="144" s="121" customFormat="1"/>
    <row r="145" spans="30:31" s="121" customFormat="1"/>
    <row r="146" spans="30:31" s="121" customFormat="1"/>
    <row r="147" spans="30:31" s="121" customFormat="1"/>
    <row r="148" spans="30:31" s="121" customFormat="1"/>
    <row r="149" spans="30:31" s="121" customFormat="1"/>
    <row r="150" spans="30:31" s="121" customFormat="1"/>
    <row r="151" spans="30:31" s="121" customFormat="1"/>
    <row r="152" spans="30:31" s="121" customFormat="1">
      <c r="AD152" s="120"/>
      <c r="AE152" s="120"/>
    </row>
    <row r="153" spans="30:31" s="121" customFormat="1">
      <c r="AD153" s="120"/>
      <c r="AE153" s="120"/>
    </row>
    <row r="154" spans="30:31" s="121" customFormat="1">
      <c r="AD154" s="120"/>
      <c r="AE154" s="120"/>
    </row>
    <row r="155" spans="30:31" s="121" customFormat="1">
      <c r="AD155" s="120"/>
      <c r="AE155" s="120"/>
    </row>
    <row r="156" spans="30:31" s="121" customFormat="1">
      <c r="AD156" s="120"/>
      <c r="AE156" s="120"/>
    </row>
    <row r="157" spans="30:31" s="121" customFormat="1">
      <c r="AD157" s="120"/>
      <c r="AE157" s="120"/>
    </row>
    <row r="158" spans="30:31" s="121" customFormat="1">
      <c r="AD158" s="120"/>
      <c r="AE158" s="120"/>
    </row>
    <row r="159" spans="30:31" s="121" customFormat="1">
      <c r="AD159" s="120"/>
      <c r="AE159" s="120"/>
    </row>
    <row r="160" spans="30:31" s="121" customFormat="1">
      <c r="AD160" s="120"/>
      <c r="AE160" s="120"/>
    </row>
    <row r="161" spans="30:31" s="121" customFormat="1">
      <c r="AD161" s="120"/>
      <c r="AE161" s="120"/>
    </row>
    <row r="162" spans="30:31" s="121" customFormat="1">
      <c r="AD162" s="120"/>
      <c r="AE162" s="120"/>
    </row>
    <row r="163" spans="30:31" s="121" customFormat="1">
      <c r="AD163" s="120"/>
      <c r="AE163" s="120"/>
    </row>
    <row r="164" spans="30:31" s="121" customFormat="1">
      <c r="AD164" s="120"/>
      <c r="AE164" s="120"/>
    </row>
    <row r="165" spans="30:31" s="121" customFormat="1">
      <c r="AD165" s="120"/>
      <c r="AE165" s="120"/>
    </row>
    <row r="166" spans="30:31" s="121" customFormat="1">
      <c r="AD166" s="120"/>
      <c r="AE166" s="120"/>
    </row>
    <row r="167" spans="30:31" s="121" customFormat="1">
      <c r="AD167" s="120"/>
      <c r="AE167" s="120"/>
    </row>
    <row r="168" spans="30:31" s="121" customFormat="1">
      <c r="AD168" s="120"/>
      <c r="AE168" s="120"/>
    </row>
    <row r="169" spans="30:31" s="121" customFormat="1">
      <c r="AD169" s="120"/>
      <c r="AE169" s="120"/>
    </row>
    <row r="170" spans="30:31" s="121" customFormat="1">
      <c r="AD170" s="120"/>
      <c r="AE170" s="120"/>
    </row>
    <row r="171" spans="30:31" s="121" customFormat="1">
      <c r="AD171" s="120"/>
      <c r="AE171" s="120"/>
    </row>
    <row r="172" spans="30:31" s="121" customFormat="1">
      <c r="AD172" s="120"/>
      <c r="AE172" s="120"/>
    </row>
    <row r="173" spans="30:31" s="121" customFormat="1">
      <c r="AD173" s="120"/>
      <c r="AE173" s="120"/>
    </row>
    <row r="174" spans="30:31" s="121" customFormat="1">
      <c r="AD174" s="120"/>
      <c r="AE174" s="120"/>
    </row>
    <row r="175" spans="30:31" s="121" customFormat="1">
      <c r="AD175" s="120"/>
      <c r="AE175" s="120"/>
    </row>
    <row r="176" spans="30:31" s="121" customFormat="1">
      <c r="AD176" s="120"/>
      <c r="AE176" s="120"/>
    </row>
    <row r="177" spans="15:31" s="121" customFormat="1">
      <c r="AD177" s="120"/>
      <c r="AE177" s="120"/>
    </row>
    <row r="178" spans="15:31" s="121" customFormat="1">
      <c r="AD178" s="120"/>
      <c r="AE178" s="120"/>
    </row>
    <row r="179" spans="15:31" s="121" customFormat="1">
      <c r="AD179" s="120"/>
      <c r="AE179" s="120"/>
    </row>
    <row r="180" spans="15:31" s="121" customFormat="1">
      <c r="AD180" s="120"/>
      <c r="AE180" s="120"/>
    </row>
    <row r="181" spans="15:31" s="121" customFormat="1">
      <c r="AD181" s="120"/>
      <c r="AE181" s="120"/>
    </row>
    <row r="182" spans="15:31" s="121" customFormat="1">
      <c r="AD182" s="120"/>
      <c r="AE182" s="120"/>
    </row>
    <row r="183" spans="15:31" s="121" customFormat="1">
      <c r="AD183" s="120"/>
      <c r="AE183" s="120"/>
    </row>
    <row r="184" spans="15:31" s="121" customFormat="1">
      <c r="AD184" s="120"/>
      <c r="AE184" s="120"/>
    </row>
    <row r="185" spans="15:31" s="121" customFormat="1">
      <c r="AD185" s="120"/>
      <c r="AE185" s="120"/>
    </row>
    <row r="186" spans="15:31" s="121" customFormat="1">
      <c r="AD186" s="120"/>
      <c r="AE186" s="120"/>
    </row>
    <row r="187" spans="15:31">
      <c r="O187" s="121"/>
      <c r="P187" s="121"/>
      <c r="Q187" s="121"/>
      <c r="R187" s="121"/>
      <c r="S187" s="121"/>
      <c r="T187" s="121"/>
      <c r="U187" s="121"/>
      <c r="V187" s="121"/>
      <c r="W187" s="121"/>
      <c r="X187" s="121"/>
      <c r="Y187" s="121"/>
      <c r="Z187" s="121"/>
      <c r="AA187" s="121"/>
      <c r="AB187" s="121"/>
      <c r="AC187" s="121"/>
    </row>
    <row r="188" spans="15:31">
      <c r="O188" s="121"/>
      <c r="P188" s="121"/>
      <c r="Q188" s="121"/>
      <c r="R188" s="121"/>
      <c r="S188" s="121"/>
      <c r="T188" s="121"/>
      <c r="U188" s="121"/>
      <c r="V188" s="121"/>
      <c r="W188" s="121"/>
      <c r="X188" s="121"/>
      <c r="Y188" s="121"/>
      <c r="Z188" s="121"/>
      <c r="AA188" s="121"/>
      <c r="AB188" s="121"/>
      <c r="AC188" s="121"/>
    </row>
    <row r="189" spans="15:31">
      <c r="O189" s="121"/>
      <c r="P189" s="121"/>
      <c r="Q189" s="121"/>
      <c r="R189" s="121"/>
      <c r="S189" s="121"/>
      <c r="T189" s="121"/>
      <c r="U189" s="121"/>
      <c r="V189" s="121"/>
      <c r="W189" s="121"/>
      <c r="X189" s="121"/>
      <c r="Y189" s="121"/>
      <c r="Z189" s="121"/>
      <c r="AA189" s="121"/>
      <c r="AB189" s="121"/>
      <c r="AC189" s="121"/>
    </row>
    <row r="190" spans="15:31">
      <c r="O190" s="121"/>
      <c r="P190" s="121"/>
      <c r="Q190" s="121"/>
      <c r="R190" s="121"/>
      <c r="S190" s="121"/>
      <c r="T190" s="121"/>
      <c r="U190" s="121"/>
      <c r="V190" s="121"/>
      <c r="W190" s="121"/>
      <c r="X190" s="121"/>
      <c r="Y190" s="121"/>
      <c r="Z190" s="121"/>
      <c r="AA190" s="121"/>
      <c r="AB190" s="121"/>
      <c r="AC190" s="121"/>
    </row>
    <row r="191" spans="15:31">
      <c r="O191" s="121"/>
      <c r="P191" s="121"/>
      <c r="Q191" s="121"/>
      <c r="R191" s="121"/>
      <c r="S191" s="121"/>
      <c r="T191" s="121"/>
      <c r="U191" s="121"/>
      <c r="V191" s="121"/>
      <c r="W191" s="121"/>
      <c r="X191" s="121"/>
      <c r="Y191" s="121"/>
      <c r="Z191" s="121"/>
      <c r="AA191" s="121"/>
      <c r="AB191" s="121"/>
      <c r="AC191" s="121"/>
    </row>
    <row r="192" spans="15:31">
      <c r="O192" s="121"/>
      <c r="P192" s="121"/>
      <c r="Q192" s="121"/>
      <c r="R192" s="121"/>
      <c r="S192" s="121"/>
      <c r="T192" s="121"/>
      <c r="U192" s="121"/>
      <c r="V192" s="121"/>
      <c r="W192" s="121"/>
      <c r="X192" s="121"/>
      <c r="Y192" s="121"/>
      <c r="Z192" s="121"/>
      <c r="AA192" s="121"/>
      <c r="AB192" s="121"/>
      <c r="AC192" s="121"/>
    </row>
    <row r="193" spans="15:29">
      <c r="O193" s="121"/>
      <c r="P193" s="121"/>
      <c r="Q193" s="121"/>
      <c r="R193" s="121"/>
      <c r="S193" s="121"/>
      <c r="T193" s="121"/>
      <c r="U193" s="121"/>
      <c r="V193" s="121"/>
      <c r="W193" s="121"/>
      <c r="X193" s="121"/>
      <c r="Y193" s="121"/>
      <c r="Z193" s="121"/>
      <c r="AA193" s="121"/>
      <c r="AB193" s="121"/>
      <c r="AC193" s="121"/>
    </row>
    <row r="194" spans="15:29">
      <c r="O194" s="121"/>
      <c r="P194" s="121"/>
      <c r="Q194" s="121"/>
      <c r="R194" s="121"/>
      <c r="S194" s="121"/>
      <c r="T194" s="121"/>
      <c r="U194" s="121"/>
      <c r="V194" s="121"/>
      <c r="W194" s="121"/>
      <c r="X194" s="121"/>
      <c r="Y194" s="121"/>
      <c r="Z194" s="121"/>
      <c r="AA194" s="121"/>
      <c r="AB194" s="121"/>
      <c r="AC194" s="121"/>
    </row>
    <row r="195" spans="15:29">
      <c r="O195" s="121"/>
      <c r="P195" s="121"/>
      <c r="Q195" s="121"/>
      <c r="R195" s="121"/>
      <c r="S195" s="121"/>
      <c r="T195" s="121"/>
      <c r="U195" s="121"/>
      <c r="V195" s="121"/>
      <c r="W195" s="121"/>
      <c r="X195" s="121"/>
      <c r="Y195" s="121"/>
      <c r="Z195" s="121"/>
      <c r="AA195" s="121"/>
      <c r="AB195" s="121"/>
      <c r="AC195" s="121"/>
    </row>
    <row r="196" spans="15:29">
      <c r="O196" s="121"/>
      <c r="P196" s="121"/>
      <c r="Q196" s="121"/>
      <c r="R196" s="121"/>
      <c r="S196" s="121"/>
      <c r="T196" s="121"/>
      <c r="U196" s="121"/>
      <c r="V196" s="121"/>
      <c r="W196" s="121"/>
      <c r="X196" s="121"/>
      <c r="Y196" s="121"/>
      <c r="Z196" s="121"/>
      <c r="AA196" s="121"/>
      <c r="AB196" s="121"/>
      <c r="AC196" s="121"/>
    </row>
    <row r="197" spans="15:29">
      <c r="O197" s="121"/>
      <c r="P197" s="121"/>
      <c r="Q197" s="121"/>
      <c r="R197" s="121"/>
      <c r="S197" s="121"/>
      <c r="T197" s="121"/>
      <c r="U197" s="121"/>
      <c r="V197" s="121"/>
      <c r="W197" s="121"/>
      <c r="X197" s="121"/>
      <c r="Y197" s="121"/>
      <c r="Z197" s="121"/>
      <c r="AA197" s="121"/>
      <c r="AB197" s="121"/>
      <c r="AC197" s="121"/>
    </row>
    <row r="198" spans="15:29">
      <c r="O198" s="121"/>
      <c r="P198" s="121"/>
      <c r="Q198" s="121"/>
      <c r="R198" s="121"/>
      <c r="S198" s="121"/>
      <c r="T198" s="121"/>
      <c r="U198" s="121"/>
      <c r="V198" s="121"/>
      <c r="W198" s="121"/>
      <c r="X198" s="121"/>
      <c r="Y198" s="121"/>
      <c r="Z198" s="121"/>
      <c r="AA198" s="121"/>
      <c r="AB198" s="121"/>
      <c r="AC198" s="121"/>
    </row>
  </sheetData>
  <mergeCells count="36">
    <mergeCell ref="B1:J2"/>
    <mergeCell ref="B28:J28"/>
    <mergeCell ref="B29:J30"/>
    <mergeCell ref="B31:J31"/>
    <mergeCell ref="B33:B34"/>
    <mergeCell ref="C33:J34"/>
    <mergeCell ref="B6:D6"/>
    <mergeCell ref="F13:G13"/>
    <mergeCell ref="Y46:Z46"/>
    <mergeCell ref="Y12:Z12"/>
    <mergeCell ref="Y16:Z16"/>
    <mergeCell ref="Y20:Z20"/>
    <mergeCell ref="Y24:Z24"/>
    <mergeCell ref="Y28:Z28"/>
    <mergeCell ref="G46:I46"/>
    <mergeCell ref="C14:D14"/>
    <mergeCell ref="B23:J23"/>
    <mergeCell ref="B24:J25"/>
    <mergeCell ref="B26:J26"/>
    <mergeCell ref="B35:J40"/>
    <mergeCell ref="S48:T48"/>
    <mergeCell ref="S49:T49"/>
    <mergeCell ref="S47:U47"/>
    <mergeCell ref="B12:D12"/>
    <mergeCell ref="B7:D7"/>
    <mergeCell ref="B8:D8"/>
    <mergeCell ref="B10:D10"/>
    <mergeCell ref="B11:D11"/>
    <mergeCell ref="B9:D9"/>
    <mergeCell ref="C42:E42"/>
    <mergeCell ref="I13:J13"/>
    <mergeCell ref="C43:E43"/>
    <mergeCell ref="C44:E44"/>
    <mergeCell ref="G42:I42"/>
    <mergeCell ref="G43:I43"/>
    <mergeCell ref="G44:I44"/>
  </mergeCells>
  <conditionalFormatting sqref="F62:F63 I45">
    <cfRule type="cellIs" dxfId="39" priority="48" operator="greaterThan">
      <formula>#REF!</formula>
    </cfRule>
  </conditionalFormatting>
  <conditionalFormatting sqref="L62:L63">
    <cfRule type="cellIs" dxfId="38" priority="49" operator="lessThan">
      <formula>$AD$20</formula>
    </cfRule>
    <cfRule type="cellIs" dxfId="37" priority="50" operator="greaterThan">
      <formula>$AD$20</formula>
    </cfRule>
  </conditionalFormatting>
  <conditionalFormatting sqref="F62:F63 I45">
    <cfRule type="cellIs" dxfId="36" priority="51" operator="lessThan">
      <formula>#REF!</formula>
    </cfRule>
  </conditionalFormatting>
  <conditionalFormatting sqref="I47">
    <cfRule type="cellIs" dxfId="35" priority="17" operator="lessThan">
      <formula>$AD$20</formula>
    </cfRule>
    <cfRule type="cellIs" dxfId="34" priority="18" operator="greaterThan">
      <formula>$AD$20</formula>
    </cfRule>
  </conditionalFormatting>
  <conditionalFormatting sqref="B26:J26">
    <cfRule type="containsText" dxfId="33" priority="4" operator="containsText" text="In this scenario, feed the current STTD phosphorus levels or the biological STTD phosphorus do not differ in economics.">
      <formula>NOT(ISERROR(SEARCH("In this scenario, feed the current STTD phosphorus levels or the biological STTD phosphorus do not differ in economics.",B26)))</formula>
    </cfRule>
    <cfRule type="containsText" dxfId="32" priority="5" operator="containsText" text="In this scenario, it is economical to feed PIC STTD phosphorus biological levels.">
      <formula>NOT(ISERROR(SEARCH("In this scenario, it is economical to feed PIC STTD phosphorus biological levels.",B26)))</formula>
    </cfRule>
    <cfRule type="containsText" dxfId="31" priority="6" operator="containsText" text="In this scenario, it isn't economical to feed PIC STTD phosphorus biological levels.">
      <formula>NOT(ISERROR(SEARCH("In this scenario, it isn't economical to feed PIC STTD phosphorus biological levels.",B26)))</formula>
    </cfRule>
  </conditionalFormatting>
  <conditionalFormatting sqref="B31:J31">
    <cfRule type="containsText" dxfId="30" priority="1" operator="containsText" text="In this scenario, feed the current STTD phosphorus levels or the biological STTD phosphorus do not differ in economics.">
      <formula>NOT(ISERROR(SEARCH("In this scenario, feed the current STTD phosphorus levels or the biological STTD phosphorus do not differ in economics.",B31)))</formula>
    </cfRule>
    <cfRule type="containsText" dxfId="29" priority="2" operator="containsText" text="In this scenario, it is economical to feed PIC STTD phosphorus biological levels.">
      <formula>NOT(ISERROR(SEARCH("In this scenario, it is economical to feed PIC STTD phosphorus biological levels.",B31)))</formula>
    </cfRule>
    <cfRule type="containsText" dxfId="28" priority="3" operator="containsText" text="In this scenario, it isn't economical to feed PIC STTD phosphorus biological levels.">
      <formula>NOT(ISERROR(SEARCH("In this scenario, it isn't economical to feed PIC STTD phosphorus biological levels.",B31)))</formula>
    </cfRule>
  </conditionalFormatting>
  <conditionalFormatting sqref="E45:E47 E49:E52">
    <cfRule type="cellIs" dxfId="27" priority="52" operator="greaterThan">
      <formula>#REF!</formula>
    </cfRule>
  </conditionalFormatting>
  <conditionalFormatting sqref="E45:E47 E49:E52">
    <cfRule type="cellIs" dxfId="26" priority="53" operator="lessThan">
      <formula>#REF!</formula>
    </cfRule>
  </conditionalFormatting>
  <dataValidations count="6">
    <dataValidation type="decimal" errorStyle="warning" allowBlank="1" showInputMessage="1" showErrorMessage="1" error="Please double check your entry" sqref="H47 J15:J21 L43:L52 D42 G15:G21 H42 H45 D45:D52 I22" xr:uid="{EE6AA423-99E5-2C48-B6D9-8B9FE259B688}">
      <formula1>30</formula1>
      <formula2>500</formula2>
    </dataValidation>
    <dataValidation errorStyle="warning" allowBlank="1" showInputMessage="1" showErrorMessage="1" error="Please double check your entry" sqref="E7:E8 E10" xr:uid="{D8F89E38-0D77-9B4D-8095-7DE8CBAAF6C6}"/>
    <dataValidation type="list" allowBlank="1" showInputMessage="1" showErrorMessage="1" promptTitle="If carcass criteria is selected:" prompt="The model can only be evaluated on a carcass basis if the final body weight is greater than 110.2 kg. " sqref="E6" xr:uid="{AA998BB8-5A0E-494E-90A7-3279A87A25EF}">
      <formula1>$T$15:$T$16</formula1>
    </dataValidation>
    <dataValidation type="decimal" operator="greaterThanOrEqual" allowBlank="1" showInputMessage="1" showErrorMessage="1" errorTitle="Outside range" error="The model is applicable for growing-finishing pigs, please enter a weight at or above 23 kg." sqref="C15 C21" xr:uid="{1E8A8BD8-98AA-48FE-93DA-5FA36B6F4DD7}">
      <formula1>23</formula1>
    </dataValidation>
    <dataValidation type="decimal" operator="greaterThanOrEqual" allowBlank="1" showInputMessage="1" showErrorMessage="1" errorTitle="Outside range" error="The model is applicable for growing-finishing pigs, please enter a weight at or above 50 lbs." sqref="C16:C20" xr:uid="{1C8391B5-D0C0-4DCD-AC25-42EFF17BB632}">
      <formula1>50</formula1>
    </dataValidation>
    <dataValidation allowBlank="1" showInputMessage="1" showErrorMessage="1" prompt="If the carcass yield entered is 76% or greater, we assume that they are based on carcasses with heads on and thus no impact of phosphorus on yield is considered. " sqref="E9" xr:uid="{6FFE11A0-03F9-0C4D-8070-A6A287D261CA}"/>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F9A24-1497-6C45-8392-D0E1DF48EC6E}">
  <sheetPr codeName="Sheet5">
    <tabColor rgb="FFFFFF00"/>
  </sheetPr>
  <dimension ref="A1:P96"/>
  <sheetViews>
    <sheetView zoomScale="85" zoomScaleNormal="85" workbookViewId="0">
      <selection activeCell="B28" sqref="B28"/>
    </sheetView>
  </sheetViews>
  <sheetFormatPr defaultColWidth="10.625" defaultRowHeight="15.75"/>
  <cols>
    <col min="1" max="1" width="66.125" bestFit="1" customWidth="1"/>
    <col min="2" max="2" width="11.125" customWidth="1"/>
    <col min="3" max="3" width="11.625" bestFit="1" customWidth="1"/>
    <col min="4" max="4" width="11" bestFit="1" customWidth="1"/>
    <col min="5" max="6" width="11.625" bestFit="1" customWidth="1"/>
    <col min="7" max="7" width="11.625" customWidth="1"/>
    <col min="8" max="8" width="11.875" bestFit="1" customWidth="1"/>
    <col min="10" max="10" width="32.625" customWidth="1"/>
    <col min="11" max="12" width="15" customWidth="1"/>
  </cols>
  <sheetData>
    <row r="1" spans="1:16" ht="21">
      <c r="A1" s="290" t="s">
        <v>26</v>
      </c>
      <c r="B1" s="290"/>
      <c r="C1" s="290"/>
      <c r="D1" s="290"/>
      <c r="E1" s="290"/>
      <c r="F1" s="290"/>
      <c r="G1" s="290"/>
      <c r="H1" s="290"/>
      <c r="I1" s="290"/>
      <c r="J1" s="290"/>
      <c r="K1" s="290"/>
      <c r="L1" s="290"/>
      <c r="M1" s="290"/>
      <c r="N1" s="290"/>
      <c r="O1" s="290"/>
    </row>
    <row r="2" spans="1:16">
      <c r="A2" s="291" t="s">
        <v>27</v>
      </c>
      <c r="B2" s="293" t="s">
        <v>28</v>
      </c>
      <c r="C2" s="293"/>
      <c r="D2" s="293"/>
      <c r="E2" s="293"/>
      <c r="F2" s="293"/>
      <c r="G2" s="293"/>
      <c r="H2" s="2"/>
      <c r="I2" s="2"/>
      <c r="J2" s="292" t="s">
        <v>29</v>
      </c>
      <c r="K2" s="292"/>
      <c r="L2" s="56"/>
      <c r="M2" s="18"/>
      <c r="N2" s="18"/>
      <c r="O2" s="18"/>
    </row>
    <row r="3" spans="1:16">
      <c r="A3" s="291"/>
      <c r="B3" s="293"/>
      <c r="C3" s="293"/>
      <c r="D3" s="293"/>
      <c r="E3" s="293"/>
      <c r="F3" s="293"/>
      <c r="G3" s="293"/>
      <c r="H3" s="2"/>
      <c r="I3" s="2"/>
      <c r="J3" s="292"/>
      <c r="K3" s="292"/>
      <c r="L3" s="56"/>
      <c r="M3" s="18"/>
      <c r="N3" s="18"/>
      <c r="O3" s="18"/>
    </row>
    <row r="4" spans="1:16" ht="16.5" thickBot="1">
      <c r="A4" s="291"/>
      <c r="B4" s="8">
        <v>1</v>
      </c>
      <c r="C4" s="8">
        <v>2</v>
      </c>
      <c r="D4" s="8">
        <v>3</v>
      </c>
      <c r="E4" s="8">
        <v>4</v>
      </c>
      <c r="F4" s="8">
        <v>5</v>
      </c>
      <c r="G4" s="8">
        <v>6</v>
      </c>
      <c r="H4" s="2"/>
      <c r="I4" s="2"/>
      <c r="J4" s="19" t="s">
        <v>27</v>
      </c>
      <c r="K4" s="19" t="s">
        <v>30</v>
      </c>
      <c r="L4" s="19">
        <v>2</v>
      </c>
      <c r="M4" s="19">
        <v>3</v>
      </c>
      <c r="N4" s="19">
        <v>4</v>
      </c>
      <c r="O4" s="19">
        <v>5</v>
      </c>
      <c r="P4" s="62">
        <v>6</v>
      </c>
    </row>
    <row r="5" spans="1:16">
      <c r="A5" t="s">
        <v>177</v>
      </c>
      <c r="B5" s="3">
        <f>'Finisher Model - NE Metric'!C15</f>
        <v>23</v>
      </c>
      <c r="C5" s="3">
        <f>'Finisher Model - NE Metric'!C16</f>
        <v>50</v>
      </c>
      <c r="D5" s="3">
        <f>'Finisher Model - NE Metric'!C17</f>
        <v>75</v>
      </c>
      <c r="E5" s="3">
        <f>'Finisher Model - NE Metric'!C18</f>
        <v>90</v>
      </c>
      <c r="F5" s="3">
        <f>'Finisher Model - NE Metric'!C19</f>
        <v>110</v>
      </c>
      <c r="G5" s="3" t="str">
        <f>'Finisher Model - NE Metric'!C20</f>
        <v/>
      </c>
      <c r="J5" t="s">
        <v>182</v>
      </c>
      <c r="K5" s="240">
        <f>IF('Finisher Model - NE Metric'!$E$11=2,'Current Performance - NE '!L5,IF('Finisher Model - NE Metric'!$E$11=3,'Current Performance - NE '!M5,IF('Finisher Model - NE Metric'!$E$11=4,'Current Performance - NE '!N5,IF('Finisher Model - NE Metric'!$E$11=5,'Current Performance - NE '!O5,IF('Finisher Model - NE Metric'!$E$11=6,'Current Performance - NE '!P5,"")))))</f>
        <v>0.95951547768224521</v>
      </c>
      <c r="L5">
        <f>((SUMPRODUCT($B$11:$C$11,$B$16:$C$16)/SUM($B$16:$C$16))/1000)</f>
        <v>0.95416073614174046</v>
      </c>
      <c r="M5">
        <f>((SUMPRODUCT($B$11:$D$11,$B$16:$D$16)/SUM($B$16:$D$16))/1000)</f>
        <v>0.95520501665197244</v>
      </c>
      <c r="N5">
        <f>((SUMPRODUCT($B$11:$E$11,$B$16:$E$16)/SUM($B$16:$E$16))/1000)</f>
        <v>0.95952874481516637</v>
      </c>
      <c r="O5">
        <f>((SUMPRODUCT($B$11:$F$11,$B$16:$F$16)/SUM($B$16:$F$16))/1000)</f>
        <v>0.95951547768224521</v>
      </c>
      <c r="P5" t="e">
        <f>((SUMPRODUCT($B$11:$G$11,$B$16:$G$16)/SUM($B$16:$G$16))/1000)</f>
        <v>#VALUE!</v>
      </c>
    </row>
    <row r="6" spans="1:16">
      <c r="A6" t="s">
        <v>178</v>
      </c>
      <c r="B6" s="3">
        <f>'Finisher Model - NE Metric'!D15</f>
        <v>50</v>
      </c>
      <c r="C6" s="3">
        <f>'Finisher Model - NE Metric'!D16</f>
        <v>75</v>
      </c>
      <c r="D6" s="3">
        <f>'Finisher Model - NE Metric'!D17</f>
        <v>90</v>
      </c>
      <c r="E6" s="3">
        <f>'Finisher Model - NE Metric'!D18</f>
        <v>110</v>
      </c>
      <c r="F6" s="3">
        <f>'Finisher Model - NE Metric'!D19</f>
        <v>130</v>
      </c>
      <c r="G6" s="3">
        <f>'Finisher Model - NE Metric'!D20</f>
        <v>0</v>
      </c>
      <c r="J6" t="s">
        <v>40</v>
      </c>
      <c r="K6" s="10">
        <f>IF('Finisher Model - NE Metric'!$E$11=2,'Current Performance - NE '!L6,IF('Finisher Model - NE Metric'!$E$11=3,'Current Performance - NE '!M6,IF('Finisher Model - NE Metric'!$E$11=4,'Current Performance - NE '!N6,IF('Finisher Model - NE Metric'!$E$11=5,'Current Performance - NE '!O6,IF('Finisher Model - NE Metric'!$E$11=6,'Current Performance - NE '!P6,"")))))</f>
        <v>2.5227788707982604</v>
      </c>
      <c r="L6">
        <f>SUM($B$17:$C$17)/SUM($B$19:$C$19)</f>
        <v>2.0858809942604419</v>
      </c>
      <c r="M6">
        <f>SUM($B$17:$D$17)/SUM($B$19:$D$19)</f>
        <v>2.2050349605889381</v>
      </c>
      <c r="N6">
        <f>SUM($B$17:$E$17)/SUM($B$19:$E$19)</f>
        <v>2.3639069156936001</v>
      </c>
      <c r="O6">
        <f>SUM($B$17:$F$17)/SUM($B$19:$F$19)</f>
        <v>2.5227788707982604</v>
      </c>
      <c r="P6" t="e">
        <f>SUM($B$17:$G$17)/SUM($B$19:$G$19)</f>
        <v>#VALUE!</v>
      </c>
    </row>
    <row r="7" spans="1:16">
      <c r="A7" t="s">
        <v>179</v>
      </c>
      <c r="B7" s="3">
        <f>B6-B5</f>
        <v>27</v>
      </c>
      <c r="C7" s="3">
        <f t="shared" ref="C7:E7" si="0">C6-C5</f>
        <v>25</v>
      </c>
      <c r="D7" s="3">
        <f t="shared" si="0"/>
        <v>15</v>
      </c>
      <c r="E7" s="3">
        <f t="shared" si="0"/>
        <v>20</v>
      </c>
      <c r="F7" s="3">
        <f>F6-F5</f>
        <v>20</v>
      </c>
      <c r="G7" s="3" t="e">
        <f>G6-G5</f>
        <v>#VALUE!</v>
      </c>
      <c r="J7" t="s">
        <v>183</v>
      </c>
      <c r="K7" s="10">
        <f>IF('Finisher Model - NE Metric'!$E$11=2,'Current Performance - NE '!L7,IF('Finisher Model - NE Metric'!$E$11=3,'Current Performance - NE '!M7,IF('Finisher Model - NE Metric'!$E$11=4,'Current Performance - NE '!N7,IF('Finisher Model - NE Metric'!$E$11=5,'Current Performance - NE '!O7,IF('Finisher Model - NE Metric'!$E$11=6,'Current Performance - NE '!P7,"")))))</f>
        <v>2.4206453733006676</v>
      </c>
      <c r="L7">
        <f>SUM(B17:C17)/SUM(B16:C16)</f>
        <v>1.9902657449876087</v>
      </c>
      <c r="M7">
        <f>SUM(B17:D17)/SUM(B16:D16)</f>
        <v>2.1062604562475382</v>
      </c>
      <c r="N7">
        <f>SUM(B17:E17)/SUM(B16:E16)</f>
        <v>2.2682366356753714</v>
      </c>
      <c r="O7">
        <f>SUM(B17:F17)/SUM(B16:F16)</f>
        <v>2.4206453733006676</v>
      </c>
      <c r="P7" t="e">
        <f>SUM(B17:G17)/SUM(B16:G16)</f>
        <v>#VALUE!</v>
      </c>
    </row>
    <row r="8" spans="1:16">
      <c r="A8" t="s">
        <v>31</v>
      </c>
      <c r="B8" s="4">
        <f>'Finisher Model - NE Metric'!E15</f>
        <v>2400</v>
      </c>
      <c r="C8" s="4">
        <f>'Finisher Model - NE Metric'!E16</f>
        <v>2400</v>
      </c>
      <c r="D8" s="4">
        <f>'Finisher Model - NE Metric'!E17</f>
        <v>2500</v>
      </c>
      <c r="E8" s="4">
        <f>'Finisher Model - NE Metric'!E18</f>
        <v>2200</v>
      </c>
      <c r="F8" s="4">
        <f>'Finisher Model - NE Metric'!E19</f>
        <v>2400</v>
      </c>
      <c r="G8" s="4">
        <f>'Finisher Model - NE Metric'!E20</f>
        <v>0</v>
      </c>
      <c r="J8" t="s">
        <v>41</v>
      </c>
      <c r="K8" s="10">
        <f>IF('Finisher Model - NE Metric'!$E$11=2,'Current Performance - NE '!L8,IF('Finisher Model - NE Metric'!$E$11=3,'Current Performance - NE '!M8,IF('Finisher Model - NE Metric'!$E$11=4,'Current Performance - NE '!N8,IF('Finisher Model - NE Metric'!$E$11=5,'Current Performance - NE '!O8,IF('Finisher Model - NE Metric'!$E$11=6,'Current Performance - NE '!P8,"")))))</f>
        <v>111.51461595852892</v>
      </c>
      <c r="L8" s="11">
        <f>SUM(B16:C16)</f>
        <v>54.498155321574046</v>
      </c>
      <c r="M8" s="11">
        <f>SUM(B16:D16)</f>
        <v>70.142010177916973</v>
      </c>
      <c r="N8" s="11">
        <f>SUM(B16:E16)</f>
        <v>90.669508829314722</v>
      </c>
      <c r="O8" s="11">
        <f>SUM(B16:F16)</f>
        <v>111.51461595852892</v>
      </c>
      <c r="P8" s="11" t="e">
        <f>SUM(B16:G16)</f>
        <v>#VALUE!</v>
      </c>
    </row>
    <row r="9" spans="1:16">
      <c r="A9" t="s">
        <v>32</v>
      </c>
      <c r="B9" s="5">
        <f>'Finisher Model - NE Metric'!G15</f>
        <v>274.70999999999998</v>
      </c>
      <c r="C9" s="5">
        <f>'Finisher Model - NE Metric'!G16</f>
        <v>260.44</v>
      </c>
      <c r="D9" s="5">
        <f>'Finisher Model - NE Metric'!G17</f>
        <v>247.49</v>
      </c>
      <c r="E9" s="5">
        <f>'Finisher Model - NE Metric'!G18</f>
        <v>237.61</v>
      </c>
      <c r="F9" s="5">
        <f>'Finisher Model - NE Metric'!G19</f>
        <v>231.73</v>
      </c>
      <c r="G9" s="5">
        <f>'Finisher Model - NE Metric'!G20</f>
        <v>0</v>
      </c>
      <c r="J9" t="s">
        <v>184</v>
      </c>
      <c r="K9" s="10">
        <f>IF('Finisher Model - NE Metric'!$E$11=2,'Current Performance - NE '!L9,IF('Finisher Model - NE Metric'!$E$11=3,'Current Performance - NE '!M9,IF('Finisher Model - NE Metric'!$E$11=4,'Current Performance - NE '!N9,IF('Finisher Model - NE Metric'!$E$11=5,'Current Performance - NE '!O9,IF('Finisher Model - NE Metric'!$E$11=6,'Current Performance - NE '!P9,"")))))</f>
        <v>269.93733917541385</v>
      </c>
      <c r="L9" s="11">
        <f>SUM(B17:C17)</f>
        <v>108.46581170154298</v>
      </c>
      <c r="M9" s="11">
        <f>SUM(B17:D17)</f>
        <v>147.73734235945886</v>
      </c>
      <c r="N9" s="11">
        <f>SUM(B17:E17)</f>
        <v>205.6599016653432</v>
      </c>
      <c r="O9" s="11">
        <f>SUM(B17:F17)</f>
        <v>269.93733917541385</v>
      </c>
      <c r="P9" s="11">
        <f>SUM(B17:G17)</f>
        <v>-34.272556740213133</v>
      </c>
    </row>
    <row r="10" spans="1:16">
      <c r="A10" t="s">
        <v>180</v>
      </c>
      <c r="B10" s="3">
        <f>AVERAGE(B5:B6)</f>
        <v>36.5</v>
      </c>
      <c r="C10" s="3">
        <f t="shared" ref="C10:D10" si="1">AVERAGE(C5:C6)</f>
        <v>62.5</v>
      </c>
      <c r="D10" s="3">
        <f t="shared" si="1"/>
        <v>82.5</v>
      </c>
      <c r="E10" s="3">
        <f>AVERAGE(E5:E6)</f>
        <v>100</v>
      </c>
      <c r="F10" s="3">
        <f>AVERAGE(F5:F6)</f>
        <v>120</v>
      </c>
      <c r="G10" s="3">
        <f>AVERAGE(G5:G6)</f>
        <v>0</v>
      </c>
      <c r="J10" s="17" t="s">
        <v>42</v>
      </c>
      <c r="K10" s="10">
        <f>IF('Finisher Model - NE Metric'!$E$11=2,'Current Performance - NE '!L10,IF('Finisher Model - NE Metric'!$E$11=3,'Current Performance - NE '!M10,IF('Finisher Model - NE Metric'!$E$11=4,'Current Performance - NE '!N10,IF('Finisher Model - NE Metric'!$E$11=5,'Current Performance - NE '!O10,IF('Finisher Model - NE Metric'!$E$11=6,'Current Performance - NE '!P10,"")))))</f>
        <v>74.259417201497314</v>
      </c>
      <c r="L10" s="15">
        <f>SUM(B18:C18)</f>
        <v>31.94706766080553</v>
      </c>
      <c r="M10" s="15">
        <f>SUM(B18:D18)</f>
        <v>42.662956439777531</v>
      </c>
      <c r="N10" s="17">
        <f>SUM(B18:E18)</f>
        <v>57.837134297187873</v>
      </c>
      <c r="O10" s="15">
        <f>SUM(B18:F18)</f>
        <v>74.259417201497314</v>
      </c>
      <c r="P10" s="15">
        <f>SUM(B18:G18)</f>
        <v>74.259417201497314</v>
      </c>
    </row>
    <row r="11" spans="1:16" ht="16.5" thickBot="1">
      <c r="A11" t="s">
        <v>56</v>
      </c>
      <c r="B11" s="9">
        <f>IFERROR(651.36+531.33*'Finisher Model - NE Metric'!S23-216.9*('Finisher Model - NE Metric'!S23*'Finisher Model - NE Metric'!S23),"")</f>
        <v>947.62674459555251</v>
      </c>
      <c r="C11" s="9">
        <f>IFERROR(651.36+531.33*'Finisher Model - NE Metric'!S24-216.9*('Finisher Model - NE Metric'!S24*'Finisher Model - NE Metric'!S24),"")</f>
        <v>961.31941247302427</v>
      </c>
      <c r="D11" s="9">
        <f>IFERROR(651.36+531.33*'Finisher Model - NE Metric'!S25-216.9*('Finisher Model - NE Metric'!S25*'Finisher Model - NE Metric'!S25),"")</f>
        <v>958.84295384638733</v>
      </c>
      <c r="E11" s="9">
        <f>IFERROR(651.36+531.33*'Finisher Model - NE Metric'!S26-216.9*('Finisher Model - NE Metric'!S26*'Finisher Model - NE Metric'!S26),"")</f>
        <v>974.3028285932038</v>
      </c>
      <c r="F11" s="9">
        <f>IFERROR(651.36+531.33*'Finisher Model - NE Metric'!S27-216.9*('Finisher Model - NE Metric'!S27*'Finisher Model - NE Metric'!S27),"")</f>
        <v>959.45776992290985</v>
      </c>
      <c r="G11" s="9" t="str">
        <f>IFERROR(651.36+531.33*'Finisher Model - NE Metric'!S28-216.9*('Finisher Model - NE Metric'!S28*'Finisher Model - NE Metric'!S28),"")</f>
        <v/>
      </c>
      <c r="J11" s="1" t="s">
        <v>43</v>
      </c>
      <c r="K11" s="16">
        <f>IF('Finisher Model - NE Metric'!$E$11=2,'Current Performance - NE '!L11,IF('Finisher Model - NE Metric'!$E$11=3,'Current Performance - NE '!M11,IF('Finisher Model - NE Metric'!$E$11=4,'Current Performance - NE '!N11,IF('Finisher Model - NE Metric'!$E$11=5,'Current Performance - NE '!O11,IF('Finisher Model - NE Metric'!$E$11=6,'Current Performance - NE '!P11,"")))))</f>
        <v>87.641171116520795</v>
      </c>
      <c r="L11" s="16">
        <f>SUM(B21:C21)</f>
        <v>38.486846299394415</v>
      </c>
      <c r="M11" s="16">
        <f>SUM(B21:D21)</f>
        <v>51.079997661127571</v>
      </c>
      <c r="N11" s="1">
        <f>SUM(B21:E21)</f>
        <v>68.717475356705648</v>
      </c>
      <c r="O11" s="16">
        <f>SUM(B21:F21)</f>
        <v>87.641171116520795</v>
      </c>
      <c r="P11" s="10" t="e">
        <f>SUM(B21:G21)</f>
        <v>#VALUE!</v>
      </c>
    </row>
    <row r="12" spans="1:16">
      <c r="A12" t="s">
        <v>57</v>
      </c>
      <c r="B12" s="9">
        <f>IFERROR(338.34+108.98*'Finisher Model - NE Metric'!S23-46.7864*('Finisher Model - NE Metric'!S23*'Finisher Model - NE Metric'!S23),"")</f>
        <v>393.28649493817494</v>
      </c>
      <c r="C12" s="9">
        <f>IFERROR(338.34+108.98*'Finisher Model - NE Metric'!S24-46.7864*('Finisher Model - NE Metric'!S24*'Finisher Model - NE Metric'!S24),"")</f>
        <v>396.80141511464478</v>
      </c>
      <c r="D12" s="9">
        <f>IFERROR(338.34+108.98*'Finisher Model - NE Metric'!S25-46.7864*('Finisher Model - NE Metric'!S25*'Finisher Model - NE Metric'!S25),"")</f>
        <v>396.15121474781472</v>
      </c>
      <c r="E12" s="9">
        <f>IFERROR(338.34+108.98*'Finisher Model - NE Metric'!S26-46.7864*('Finisher Model - NE Metric'!S26*'Finisher Model - NE Metric'!S26),"")</f>
        <v>400.50545179165545</v>
      </c>
      <c r="F12" s="9">
        <f>IFERROR(338.34+108.98*'Finisher Model - NE Metric'!S27-46.7864*('Finisher Model - NE Metric'!S27*'Finisher Model - NE Metric'!S27),"")</f>
        <v>396.31184609669464</v>
      </c>
      <c r="G12" s="9" t="str">
        <f>IFERROR(338.34+108.98*'Finisher Model - NE Metric'!S28-46.7864*('Finisher Model - NE Metric'!S28*'Finisher Model - NE Metric'!S28),"")</f>
        <v/>
      </c>
      <c r="J12" s="17" t="s">
        <v>50</v>
      </c>
      <c r="K12" s="10">
        <f>IF('Finisher Model - NE Metric'!$E$11=2,'Current Performance - NE '!L12,IF('Finisher Model - NE Metric'!$E$11=3,'Current Performance - NE '!M12,IF('Finisher Model - NE Metric'!$E$11=4,'Current Performance - NE '!N12,IF('Finisher Model - NE Metric'!$E$11=5,'Current Performance - NE '!O12,IF('Finisher Model - NE Metric'!$E$11=6,'Current Performance - NE '!P12,"")))))</f>
        <v>130</v>
      </c>
      <c r="L12" s="17">
        <f>SUM(B19:C19,'Finisher Model - NE Metric'!C15)*'Finisher Model - NE Metric'!E7</f>
        <v>75</v>
      </c>
      <c r="M12" s="17">
        <f>SUM(B19:D19,'Finisher Model - NE Metric'!C15)*'Finisher Model - NE Metric'!E7</f>
        <v>90</v>
      </c>
      <c r="N12" s="17">
        <f>SUM(B19:E19,'Finisher Model - NE Metric'!C15)*'Finisher Model - NE Metric'!E7</f>
        <v>110</v>
      </c>
      <c r="O12" s="17">
        <f>SUM(B19:F19,'Finisher Model - NE Metric'!C15)*'Finisher Model - NE Metric'!E7</f>
        <v>130</v>
      </c>
      <c r="P12" s="17" t="e">
        <f>SUM(B19:G19,'Finisher Model - NE Metric'!C15)*'Finisher Model - NE Metric'!E7</f>
        <v>#VALUE!</v>
      </c>
    </row>
    <row r="13" spans="1:16">
      <c r="A13" t="s">
        <v>58</v>
      </c>
      <c r="B13" s="6">
        <f t="shared" ref="B13:G13" si="2">(B11/B12)*1000</f>
        <v>2409.50746285992</v>
      </c>
      <c r="C13" s="6">
        <f t="shared" si="2"/>
        <v>2422.6713309358479</v>
      </c>
      <c r="D13" s="6">
        <f t="shared" si="2"/>
        <v>2420.3963490476121</v>
      </c>
      <c r="E13" s="6">
        <f t="shared" si="2"/>
        <v>2432.6830614531564</v>
      </c>
      <c r="F13" s="6">
        <f t="shared" si="2"/>
        <v>2420.966668982222</v>
      </c>
      <c r="G13" s="6" t="e">
        <f t="shared" si="2"/>
        <v>#VALUE!</v>
      </c>
      <c r="J13" s="17" t="s">
        <v>44</v>
      </c>
      <c r="K13" s="10">
        <f>IF('Finisher Model - NE Metric'!$E$11=2,'Current Performance - NE '!L13,IF('Finisher Model - NE Metric'!$E$11=3,'Current Performance - NE '!M13,IF('Finisher Model - NE Metric'!$E$11=4,'Current Performance - NE '!N13,IF('Finisher Model - NE Metric'!$E$11=5,'Current Performance - NE '!O13,IF('Finisher Model - NE Metric'!$E$11=6,'Current Performance - NE '!P13,"")))))</f>
        <v>55.740582798502686</v>
      </c>
      <c r="L13" s="14">
        <f>L12-L10</f>
        <v>43.05293233919447</v>
      </c>
      <c r="M13" s="14">
        <f>M12-M10</f>
        <v>47.337043560222469</v>
      </c>
      <c r="N13" s="17">
        <f>N12-N10</f>
        <v>52.162865702812127</v>
      </c>
      <c r="O13" s="17">
        <f>O12-O10</f>
        <v>55.740582798502686</v>
      </c>
      <c r="P13" s="15" t="e">
        <f>P12-P10</f>
        <v>#VALUE!</v>
      </c>
    </row>
    <row r="14" spans="1:16" ht="16.5" thickBot="1">
      <c r="A14" t="s">
        <v>59</v>
      </c>
      <c r="B14" s="43">
        <f t="shared" ref="B14:G14" si="3">B13/B11</f>
        <v>2.5426756648666546</v>
      </c>
      <c r="C14" s="43">
        <f t="shared" si="3"/>
        <v>2.5201523026602053</v>
      </c>
      <c r="D14" s="43">
        <f t="shared" si="3"/>
        <v>2.5242886119548777</v>
      </c>
      <c r="E14" s="43">
        <f t="shared" si="3"/>
        <v>2.4968449131628905</v>
      </c>
      <c r="F14" s="43">
        <f t="shared" si="3"/>
        <v>2.523265478559563</v>
      </c>
      <c r="G14" s="43" t="e">
        <f t="shared" si="3"/>
        <v>#VALUE!</v>
      </c>
      <c r="H14" s="2"/>
      <c r="J14" s="1" t="s">
        <v>45</v>
      </c>
      <c r="K14" s="16">
        <f>IF('Finisher Model - NE Metric'!$E$11=2,'Current Performance - NE '!L14,IF('Finisher Model - NE Metric'!$E$11=3,'Current Performance - NE '!M14,IF('Finisher Model - NE Metric'!$E$11=4,'Current Performance - NE '!N14,IF('Finisher Model - NE Metric'!$E$11=5,'Current Performance - NE '!O14,IF('Finisher Model - NE Metric'!$E$11=6,'Current Performance - NE '!P14,"")))))</f>
        <v>42.358828883479205</v>
      </c>
      <c r="L14" s="16">
        <f>L12-L11</f>
        <v>36.513153700605585</v>
      </c>
      <c r="M14" s="16">
        <f>M12-M11</f>
        <v>38.920002338872429</v>
      </c>
      <c r="N14" s="1">
        <f t="shared" ref="N14" si="4">N12-N11</f>
        <v>41.282524643294352</v>
      </c>
      <c r="O14" s="1">
        <f>O12-O11</f>
        <v>42.358828883479205</v>
      </c>
      <c r="P14" s="16" t="e">
        <f>P12-P11</f>
        <v>#VALUE!</v>
      </c>
    </row>
    <row r="15" spans="1:16">
      <c r="A15" t="s">
        <v>73</v>
      </c>
      <c r="B15" s="43">
        <f>IF('Finisher Model - NE Metric'!E11=2,(SUMPRODUCT(B14:C14,B16:C16)/SUM(B16:C16)),IF('Finisher Model - NE Metric'!E11=3,(SUMPRODUCT(B14:D14,B16:D16)/SUM(B16:D16)),IF('Finisher Model - NE Metric'!E11=4,(SUMPRODUCT(B14:E14,B16:E16)/SUM(B16:E16)),IF('Finisher Model - NE Metric'!E11=5,(SUMPRODUCT(B14:F14,B16:F16)/SUM(B16:F16)),IF('Finisher Model - NE Metric'!E11=6,(SUMPRODUCT(B14:G14,B16:G16)/SUM(B16:G16)),"")))))</f>
        <v>2.5227788707982612</v>
      </c>
      <c r="C15" s="7"/>
      <c r="D15" s="7"/>
      <c r="E15" s="7"/>
      <c r="F15" s="7"/>
      <c r="G15" s="7"/>
      <c r="J15" s="17" t="s">
        <v>51</v>
      </c>
      <c r="K15" s="10">
        <f>IF('Finisher Model - NE Metric'!$E$11=2,'Current Performance - NE '!L15,IF('Finisher Model - NE Metric'!$E$11=3,'Current Performance - NE '!M15,IF('Finisher Model - NE Metric'!$E$11=4,'Current Performance - NE '!N15,IF('Finisher Model - NE Metric'!$E$11=5,'Current Performance - NE '!O15,IF('Finisher Model - NE Metric'!$E$11=6,'Current Performance - NE '!P15,"")))))</f>
        <v>143.13234610127321</v>
      </c>
      <c r="L15" s="17">
        <f>C28*'Finisher Model - NE Metric'!$E$8</f>
        <v>143.13234610127321</v>
      </c>
      <c r="M15" s="17">
        <f>D28*'Finisher Model - NE Metric'!$E$8</f>
        <v>143.13234610127321</v>
      </c>
      <c r="N15" s="17">
        <f>E28*'Finisher Model - NE Metric'!$E$8</f>
        <v>143.13234610127321</v>
      </c>
      <c r="O15" s="17">
        <f>F28*'Finisher Model - NE Metric'!$E$8</f>
        <v>143.13234610127321</v>
      </c>
      <c r="P15" s="17">
        <f>G28*'Finisher Model - NE Metric'!$E$8</f>
        <v>143.13234610127321</v>
      </c>
    </row>
    <row r="16" spans="1:16">
      <c r="A16" t="s">
        <v>39</v>
      </c>
      <c r="B16" s="21">
        <f t="shared" ref="B16:G16" si="5">(CONVERT(B7,"kg","g"))/B11</f>
        <v>28.492230885192683</v>
      </c>
      <c r="C16" s="21">
        <f t="shared" si="5"/>
        <v>26.005924436381367</v>
      </c>
      <c r="D16" s="21">
        <f t="shared" si="5"/>
        <v>15.643854856342923</v>
      </c>
      <c r="E16" s="21">
        <f t="shared" si="5"/>
        <v>20.527498651397746</v>
      </c>
      <c r="F16" s="21">
        <f t="shared" si="5"/>
        <v>20.845107129214195</v>
      </c>
      <c r="G16" s="21" t="e">
        <f t="shared" si="5"/>
        <v>#VALUE!</v>
      </c>
      <c r="H16" s="11">
        <f>IF('Finisher Model - NE Metric'!E11=2,SUM(B16:C16),IF('Finisher Model - NE Metric'!E11=3,SUM(B16:D16),IF('Finisher Model - NE Metric'!E11=4,SUM(B16:E16),IF('Finisher Model - NE Metric'!E11=5,SUM(B16:F16),IF('Finisher Model - NE Metric'!E11=6,SUM(B16:G16),"")))))</f>
        <v>111.51461595852892</v>
      </c>
      <c r="J16" s="17" t="s">
        <v>52</v>
      </c>
      <c r="K16" s="10">
        <f>IF('Finisher Model - NE Metric'!$E$11=2,'Current Performance - NE '!L16,IF('Finisher Model - NE Metric'!$E$11=3,'Current Performance - NE '!M16,IF('Finisher Model - NE Metric'!$E$11=4,'Current Performance - NE '!N16,IF('Finisher Model - NE Metric'!$E$11=5,'Current Performance - NE '!O16,IF('Finisher Model - NE Metric'!$E$11=6,'Current Performance - NE '!P16,"")))))</f>
        <v>68.8729288997759</v>
      </c>
      <c r="L16" s="15">
        <f>L15-L10</f>
        <v>111.18527844046768</v>
      </c>
      <c r="M16" s="15">
        <f>M15-M10</f>
        <v>100.46938966149568</v>
      </c>
      <c r="N16" s="15">
        <f>N15-N10</f>
        <v>85.295211804085341</v>
      </c>
      <c r="O16" s="15">
        <f>O15-O10</f>
        <v>68.8729288997759</v>
      </c>
      <c r="P16" s="15">
        <f>P15-P10</f>
        <v>68.8729288997759</v>
      </c>
    </row>
    <row r="17" spans="1:16" ht="16.5" thickBot="1">
      <c r="A17" t="s">
        <v>176</v>
      </c>
      <c r="B17" s="25">
        <f>CONVERT(D45,"lbm","kg")</f>
        <v>50.956858360249612</v>
      </c>
      <c r="C17" s="25">
        <f>CONVERT(D46,"lbm","kg")</f>
        <v>57.50895334129337</v>
      </c>
      <c r="D17" s="25">
        <f>CONVERT(D47,"lbm","kg")</f>
        <v>39.271530657915903</v>
      </c>
      <c r="E17" s="25">
        <f>CONVERT(D48,"lbm","kg")</f>
        <v>57.922559305884342</v>
      </c>
      <c r="F17" s="25">
        <f>CONVERT(D49,"lbm","kg")</f>
        <v>64.277437510070641</v>
      </c>
      <c r="G17" s="25">
        <f>CONVERT(D50,"lbm","kg")</f>
        <v>-304.20989591562699</v>
      </c>
      <c r="H17" s="11"/>
      <c r="J17" s="1" t="s">
        <v>53</v>
      </c>
      <c r="K17" s="16">
        <f>IF('Finisher Model - NE Metric'!$E$11=2,'Current Performance - NE '!L17,IF('Finisher Model - NE Metric'!$E$11=3,'Current Performance - NE '!M17,IF('Finisher Model - NE Metric'!$E$11=4,'Current Performance - NE '!N17,IF('Finisher Model - NE Metric'!$E$11=5,'Current Performance - NE '!O17,IF('Finisher Model - NE Metric'!$E$11=6,'Current Performance - NE '!P17,"")))))</f>
        <v>55.491174984752419</v>
      </c>
      <c r="L17" s="16">
        <f>L15-L11</f>
        <v>104.6454998018788</v>
      </c>
      <c r="M17" s="16">
        <f>M15-M11</f>
        <v>92.052348440145636</v>
      </c>
      <c r="N17" s="1">
        <f>N15-N11</f>
        <v>74.414870744567565</v>
      </c>
      <c r="O17" s="16">
        <f>O15-O11</f>
        <v>55.491174984752419</v>
      </c>
      <c r="P17" s="16" t="e">
        <f>P15-P11</f>
        <v>#VALUE!</v>
      </c>
    </row>
    <row r="18" spans="1:16">
      <c r="A18" t="s">
        <v>33</v>
      </c>
      <c r="B18" s="6">
        <f>(B17*(B9/907))</f>
        <v>15.433691907545944</v>
      </c>
      <c r="C18" s="6">
        <f t="shared" ref="C18:G18" si="6">(C17*(C9/907))</f>
        <v>16.513375753259584</v>
      </c>
      <c r="D18" s="6">
        <f t="shared" si="6"/>
        <v>10.715888778972005</v>
      </c>
      <c r="E18" s="6">
        <f t="shared" si="6"/>
        <v>15.174177857410342</v>
      </c>
      <c r="F18" s="6">
        <f t="shared" si="6"/>
        <v>16.422282904309448</v>
      </c>
      <c r="G18" s="6">
        <f t="shared" si="6"/>
        <v>0</v>
      </c>
    </row>
    <row r="19" spans="1:16">
      <c r="A19" t="s">
        <v>174</v>
      </c>
      <c r="B19" s="6">
        <f t="shared" ref="B19:G19" si="7">B11/1000*B16</f>
        <v>27</v>
      </c>
      <c r="C19" s="6">
        <f t="shared" si="7"/>
        <v>25.000000000000004</v>
      </c>
      <c r="D19" s="6">
        <f t="shared" si="7"/>
        <v>14.999999999999998</v>
      </c>
      <c r="E19" s="6">
        <f t="shared" si="7"/>
        <v>20</v>
      </c>
      <c r="F19" s="6">
        <f t="shared" si="7"/>
        <v>20.000000000000004</v>
      </c>
      <c r="G19" s="6" t="e">
        <f t="shared" si="7"/>
        <v>#VALUE!</v>
      </c>
      <c r="H19" s="239">
        <f>IF('Finisher Model - NE Metric'!E11=2,SUM(B19:C19)+'Finisher Model - NE Metric'!C15,IF('Finisher Model - NE Metric'!E11=3,SUM(B19:D19)+'Finisher Model - NE Metric'!C15,IF('Finisher Model - NE Metric'!E11=4,SUM(B19:E19)+'Finisher Model - NE Metric'!C15,IF('Finisher Model - NE Metric'!E11=5,SUM(B19:F19)+'Finisher Model - NE Metric'!C15,IF('Finisher Model - NE Metric'!E11=6,SUM(B19:G19)+'Finisher Model - NE Metric'!C15,"")))))</f>
        <v>130</v>
      </c>
      <c r="I19" s="6"/>
      <c r="K19" s="11"/>
      <c r="L19" s="11"/>
    </row>
    <row r="20" spans="1:16">
      <c r="A20" t="s">
        <v>181</v>
      </c>
      <c r="B20" s="7">
        <f t="shared" ref="B20:G20" si="8">B18/((B11/1000)*B16)</f>
        <v>0.5716182187979979</v>
      </c>
      <c r="C20" s="7">
        <f t="shared" si="8"/>
        <v>0.66053503013038328</v>
      </c>
      <c r="D20" s="7">
        <f t="shared" si="8"/>
        <v>0.71439258526480043</v>
      </c>
      <c r="E20" s="7">
        <f t="shared" si="8"/>
        <v>0.75870889287051713</v>
      </c>
      <c r="F20" s="7">
        <f t="shared" si="8"/>
        <v>0.82111414521547221</v>
      </c>
      <c r="G20" s="7" t="e">
        <f t="shared" si="8"/>
        <v>#VALUE!</v>
      </c>
      <c r="H20" s="11"/>
    </row>
    <row r="21" spans="1:16">
      <c r="A21" t="s">
        <v>35</v>
      </c>
      <c r="B21" s="7">
        <f>B18+(B16*'Finisher Model - NE Metric'!$E$10)</f>
        <v>18.852759613769067</v>
      </c>
      <c r="C21" s="7">
        <f>C18+(C16*'Finisher Model - NE Metric'!$E$10)</f>
        <v>19.634086685625348</v>
      </c>
      <c r="D21" s="7">
        <f>D18+(D16*'Finisher Model - NE Metric'!$E$10)</f>
        <v>12.593151361733156</v>
      </c>
      <c r="E21" s="7">
        <f>E18+(E16*'Finisher Model - NE Metric'!$E$10)</f>
        <v>17.63747769557807</v>
      </c>
      <c r="F21" s="7">
        <f>F18+(F16*'Finisher Model - NE Metric'!$E$10)</f>
        <v>18.92369575981515</v>
      </c>
      <c r="G21" s="7" t="e">
        <f>G18+(G16*'Finisher Model - NE Metric'!$E$10)</f>
        <v>#VALUE!</v>
      </c>
      <c r="H21" s="45"/>
      <c r="I21" s="28"/>
    </row>
    <row r="23" spans="1:16">
      <c r="A23" t="s">
        <v>55</v>
      </c>
      <c r="B23" s="7">
        <f>B19*'Finisher Model - NE Metric'!$E$7</f>
        <v>27</v>
      </c>
      <c r="C23" s="7">
        <f>C19*'Finisher Model - NE Metric'!$E$7</f>
        <v>25.000000000000004</v>
      </c>
      <c r="D23" s="7">
        <f>D19*'Finisher Model - NE Metric'!$E$7</f>
        <v>14.999999999999998</v>
      </c>
      <c r="E23" s="7">
        <f>E19*'Finisher Model - NE Metric'!$E$7</f>
        <v>20</v>
      </c>
      <c r="F23" s="7">
        <f>F19*'Finisher Model - NE Metric'!$E$7</f>
        <v>20.000000000000004</v>
      </c>
      <c r="G23" s="7" t="e">
        <f>G19*'Finisher Model - NE Metric'!$E$7</f>
        <v>#VALUE!</v>
      </c>
    </row>
    <row r="24" spans="1:16">
      <c r="A24" t="s">
        <v>37</v>
      </c>
      <c r="B24" s="7">
        <f>B23-B18</f>
        <v>11.566308092454056</v>
      </c>
      <c r="C24" s="7">
        <f>C23-C18</f>
        <v>8.4866242467404192</v>
      </c>
      <c r="D24" s="7">
        <f t="shared" ref="D24:G24" si="9">D23-D18</f>
        <v>4.2841112210279935</v>
      </c>
      <c r="E24" s="7">
        <f t="shared" si="9"/>
        <v>4.8258221425896579</v>
      </c>
      <c r="F24" s="7">
        <f t="shared" si="9"/>
        <v>3.5777170956905557</v>
      </c>
      <c r="G24" s="7" t="e">
        <f t="shared" si="9"/>
        <v>#VALUE!</v>
      </c>
      <c r="H24" s="10"/>
    </row>
    <row r="25" spans="1:16">
      <c r="A25" t="s">
        <v>38</v>
      </c>
      <c r="B25" s="7">
        <f>B23-B21</f>
        <v>8.1472403862309335</v>
      </c>
      <c r="C25" s="7">
        <f>C23-C21</f>
        <v>5.3659133143746551</v>
      </c>
      <c r="D25" s="7">
        <f>D23-D21</f>
        <v>2.4068486382668421</v>
      </c>
      <c r="E25" s="7">
        <f t="shared" ref="E25:G25" si="10">E23-E21</f>
        <v>2.3625223044219297</v>
      </c>
      <c r="F25" s="7">
        <f t="shared" si="10"/>
        <v>1.0763042401848537</v>
      </c>
      <c r="G25" s="7" t="e">
        <f t="shared" si="10"/>
        <v>#VALUE!</v>
      </c>
    </row>
    <row r="26" spans="1:16">
      <c r="A26" t="s">
        <v>75</v>
      </c>
      <c r="B26" s="7">
        <f>'Finisher Model - NE Metric'!S23</f>
        <v>1.5912796393940527</v>
      </c>
      <c r="C26" s="7">
        <f>'Finisher Model - NE Metric'!S24</f>
        <v>1.4915826400203729</v>
      </c>
      <c r="D26" s="7">
        <f>'Finisher Model - NE Metric'!S25</f>
        <v>1.5121875561799571</v>
      </c>
      <c r="E26" s="7">
        <f>'Finisher Model - NE Metric'!S26</f>
        <v>1.331126298844884</v>
      </c>
      <c r="F26" s="7">
        <f>'Finisher Model - NE Metric'!S27</f>
        <v>1.5072124247355645</v>
      </c>
      <c r="G26" s="7" t="str">
        <f>'Finisher Model - NE Metric'!S28</f>
        <v/>
      </c>
    </row>
    <row r="27" spans="1:16">
      <c r="A27" t="s">
        <v>76</v>
      </c>
      <c r="B27" s="7">
        <f>SUMPRODUCT(B26,B17)/SUM(B17)</f>
        <v>1.5912796393940527</v>
      </c>
      <c r="C27" s="7">
        <f>SUMPRODUCT(B26:C26,B17:C17)/SUM(B17:C17)</f>
        <v>1.5384199410678718</v>
      </c>
      <c r="D27" s="7">
        <f>SUMPRODUCT(B26:D26,B17:D17)/SUM(B17:D17)</f>
        <v>1.5314468502371905</v>
      </c>
      <c r="E27" s="7">
        <f>SUMPRODUCT(B26:E26,B17:E17)/SUM(B17:E17)</f>
        <v>1.475028078642671</v>
      </c>
      <c r="F27" s="7">
        <f>SUMPRODUCT(B26:F26,B17:F17)/SUM(B17:F17)</f>
        <v>1.4826918101631337</v>
      </c>
      <c r="G27" s="7">
        <f>SUMPRODUCT(B26:G26,B17:G17)/SUM(B17:G17)</f>
        <v>-11.677969784582963</v>
      </c>
    </row>
    <row r="28" spans="1:16">
      <c r="A28" t="s">
        <v>158</v>
      </c>
      <c r="B28" s="7">
        <f>$H$19*$B$36/100</f>
        <v>95.421564067515476</v>
      </c>
      <c r="C28" s="237">
        <f t="shared" ref="C28:G28" si="11">$H$19*$B$36/100</f>
        <v>95.421564067515476</v>
      </c>
      <c r="D28" s="237">
        <f t="shared" si="11"/>
        <v>95.421564067515476</v>
      </c>
      <c r="E28" s="237">
        <f t="shared" si="11"/>
        <v>95.421564067515476</v>
      </c>
      <c r="F28" s="237">
        <f t="shared" si="11"/>
        <v>95.421564067515476</v>
      </c>
      <c r="G28" s="237">
        <f t="shared" si="11"/>
        <v>95.421564067515476</v>
      </c>
    </row>
    <row r="29" spans="1:16">
      <c r="A29" t="s">
        <v>155</v>
      </c>
      <c r="B29" s="74">
        <f>(VLOOKUP($H$19,$C$57:$I$96,7,TRUE))*100</f>
        <v>74.922166093909382</v>
      </c>
      <c r="C29" s="74">
        <f>(VLOOKUP($H$19,$C$57:$I$96,7,TRUE))*100</f>
        <v>74.922166093909382</v>
      </c>
      <c r="D29" s="74">
        <f t="shared" ref="D29:G29" si="12">(VLOOKUP($H$19,$C$57:$I$96,7,TRUE))*100</f>
        <v>74.922166093909382</v>
      </c>
      <c r="E29" s="74">
        <f t="shared" si="12"/>
        <v>74.922166093909382</v>
      </c>
      <c r="F29" s="74">
        <f t="shared" si="12"/>
        <v>74.922166093909382</v>
      </c>
      <c r="G29" s="74">
        <f t="shared" si="12"/>
        <v>74.922166093909382</v>
      </c>
    </row>
    <row r="30" spans="1:16">
      <c r="A30" t="s">
        <v>90</v>
      </c>
      <c r="B30" s="6">
        <f>'Finisher Model - NE Metric'!E9</f>
        <v>74</v>
      </c>
      <c r="C30" s="7"/>
      <c r="D30" s="7"/>
      <c r="E30" s="7"/>
      <c r="F30" s="7"/>
      <c r="G30" s="7"/>
    </row>
    <row r="31" spans="1:16">
      <c r="A31" t="s">
        <v>91</v>
      </c>
      <c r="B31" s="53">
        <f>B30/B29</f>
        <v>0.98769167868486996</v>
      </c>
      <c r="C31" s="9"/>
      <c r="D31" s="9"/>
      <c r="E31" s="9"/>
      <c r="F31" s="9"/>
      <c r="G31" s="9"/>
    </row>
    <row r="32" spans="1:16">
      <c r="A32" s="52" t="s">
        <v>151</v>
      </c>
      <c r="B32" s="68">
        <f>'Finisher Model - NE Metric'!S23</f>
        <v>1.5912796393940527</v>
      </c>
      <c r="C32" s="68">
        <f>'Finisher Model - NE Metric'!S24</f>
        <v>1.4915826400203729</v>
      </c>
      <c r="D32" s="68">
        <f>'Finisher Model - NE Metric'!S25</f>
        <v>1.5121875561799571</v>
      </c>
      <c r="E32" s="68">
        <f>'Finisher Model - NE Metric'!S26</f>
        <v>1.331126298844884</v>
      </c>
      <c r="F32" s="68">
        <f>'Finisher Model - NE Metric'!S27</f>
        <v>1.5072124247355645</v>
      </c>
      <c r="G32" s="68" t="str">
        <f>'Finisher Model - NE Metric'!S28</f>
        <v/>
      </c>
      <c r="H32" s="68">
        <f>IF('Finisher Model - NE Metric'!E11=2,(SUMPRODUCT(B32:C32,B16:C16)/SUM(B16:C16)),IF('Finisher Model - NE Metric'!E11=3,(SUMPRODUCT(B32:D32,B16:D16)/SUM(B16:D16)),IF('Finisher Model - NE Metric'!E11=4,(SUMPRODUCT(B32:E32,B16:E16)/SUM(B16:E16)),IF('Finisher Model - NE Metric'!E11=5,(SUMPRODUCT(B32:F32,B16:F16)/SUM(B16:F16)),IF('Finisher Model - NE Metric'!E11=6,(SUMPRODUCT(B32:G32,B16:G16)/SUM(B16:G16)),"")))))</f>
        <v>1.4933309978519831</v>
      </c>
    </row>
    <row r="33" spans="1:10">
      <c r="A33" t="s">
        <v>152</v>
      </c>
      <c r="B33" s="68">
        <f>73.859-1.19192*H32</f>
        <v>72.07906891704026</v>
      </c>
      <c r="C33" s="5"/>
      <c r="D33" s="5"/>
      <c r="E33" s="5"/>
      <c r="F33" s="5"/>
      <c r="G33" s="5"/>
    </row>
    <row r="34" spans="1:10">
      <c r="A34" t="s">
        <v>154</v>
      </c>
      <c r="B34" s="68">
        <f>73.859-1.19192*1</f>
        <v>72.667079999999999</v>
      </c>
      <c r="C34" s="6"/>
    </row>
    <row r="35" spans="1:10">
      <c r="A35" t="s">
        <v>156</v>
      </c>
      <c r="B35" s="53">
        <f>B33/$B$34</f>
        <v>0.99190815038997382</v>
      </c>
    </row>
    <row r="36" spans="1:10">
      <c r="A36" t="s">
        <v>157</v>
      </c>
      <c r="B36" s="68">
        <f>(VLOOKUP($H$19,$C$57:$K$96,9,TRUE))</f>
        <v>73.401203128858057</v>
      </c>
      <c r="C36" s="74">
        <f t="shared" ref="C36:G36" si="13">(VLOOKUP($H$19,$C$57:$K$96,9,TRUE))</f>
        <v>73.401203128858057</v>
      </c>
      <c r="D36" s="74">
        <f t="shared" si="13"/>
        <v>73.401203128858057</v>
      </c>
      <c r="E36" s="74">
        <f t="shared" si="13"/>
        <v>73.401203128858057</v>
      </c>
      <c r="F36" s="74">
        <f t="shared" si="13"/>
        <v>73.401203128858057</v>
      </c>
      <c r="G36" s="74">
        <f t="shared" si="13"/>
        <v>73.401203128858057</v>
      </c>
    </row>
    <row r="38" spans="1:10" ht="16.5" thickBot="1"/>
    <row r="39" spans="1:10" ht="16.5" thickBot="1">
      <c r="B39" s="287" t="s">
        <v>61</v>
      </c>
      <c r="C39" s="288"/>
      <c r="D39" s="288"/>
      <c r="E39" s="289"/>
      <c r="J39" t="s">
        <v>149</v>
      </c>
    </row>
    <row r="40" spans="1:10" ht="16.5" thickBot="1">
      <c r="B40" s="287" t="s">
        <v>62</v>
      </c>
      <c r="C40" s="288"/>
      <c r="D40" s="288"/>
      <c r="E40" s="289"/>
      <c r="J40" t="s">
        <v>150</v>
      </c>
    </row>
    <row r="41" spans="1:10" ht="16.5" thickBot="1">
      <c r="B41" s="38" t="s">
        <v>63</v>
      </c>
      <c r="C41" s="38" t="s">
        <v>64</v>
      </c>
      <c r="D41" s="38" t="s">
        <v>65</v>
      </c>
      <c r="E41" s="29"/>
    </row>
    <row r="42" spans="1:10" ht="16.5" thickBot="1">
      <c r="B42" s="39">
        <f>CONVERT('Finisher Model - NE Metric'!C15,"kg","lbm")</f>
        <v>50.706320302521839</v>
      </c>
      <c r="C42" s="39">
        <f>CONVERT(IF('Finisher Model - NE Metric'!$E$11=2,'Finisher Model - NE Metric'!D16,IF('Finisher Model - NE Metric'!$E$11=3,'Finisher Model - NE Metric'!D17,IF('Finisher Model - NE Metric'!$E$11=4,'Finisher Model - NE Metric'!D18,IF('Finisher Model - NE Metric'!$E$11=5,'Finisher Model - NE Metric'!D19,IF('Finisher Model - NE Metric'!$E$11=6,'Finisher Model - NE Metric'!D20,""))))),"kg","lbm")</f>
        <v>286.6009408403408</v>
      </c>
      <c r="D42" s="44">
        <f>B15</f>
        <v>2.5227788707982612</v>
      </c>
      <c r="E42" s="32"/>
    </row>
    <row r="43" spans="1:10">
      <c r="B43" s="33"/>
      <c r="C43" s="17"/>
      <c r="D43" s="17"/>
      <c r="E43" s="32"/>
    </row>
    <row r="44" spans="1:10">
      <c r="B44" s="34" t="s">
        <v>63</v>
      </c>
      <c r="C44" s="31" t="s">
        <v>64</v>
      </c>
      <c r="D44" s="41" t="s">
        <v>66</v>
      </c>
      <c r="E44" s="35">
        <f>IF(B45=0,F44,((0.00463*B45^2 + 1.68*B45 - 22.05)/(((0.00463*C42^2 + 1.68*C42 - 22.05)-(0.00463*B42^2 + 1.68*B42 - 22.05))/(C42-B42))*D42))</f>
        <v>58.398318461069799</v>
      </c>
    </row>
    <row r="45" spans="1:10">
      <c r="A45">
        <v>1</v>
      </c>
      <c r="B45" s="30">
        <f>CONVERT('Finisher Model - NE Metric'!C15,"kg","lbm")</f>
        <v>50.706320302521839</v>
      </c>
      <c r="C45" s="36">
        <f>CONVERT('Finisher Model - NE Metric'!D15,"kg","lbm")</f>
        <v>110.23113109243879</v>
      </c>
      <c r="D45" s="42">
        <f>IF(C45="","",(E45-E44))</f>
        <v>112.3406426793502</v>
      </c>
      <c r="E45" s="35">
        <f t="shared" ref="E45:E50" si="14">IF(B46="","",((0.00463*B46^2 + 1.68*B46 - 22.05)/(((0.00463*$C$42^2 + 1.68*$C$42 - 22.05)-(0.00463*$B$42^2 + 1.68*$B$42 - 22.05))/($C$42-$B$42))*$D$42))</f>
        <v>170.73896114042</v>
      </c>
    </row>
    <row r="46" spans="1:10">
      <c r="A46">
        <v>2</v>
      </c>
      <c r="B46" s="30">
        <f t="shared" ref="B46:B51" si="15">C45</f>
        <v>110.23113109243879</v>
      </c>
      <c r="C46" s="36">
        <f>CONVERT('Finisher Model - NE Metric'!D16,"kg","lbm")</f>
        <v>165.34669663865816</v>
      </c>
      <c r="D46" s="42">
        <f t="shared" ref="D46:D47" si="16">IF(C46="","",(E46-E45))</f>
        <v>126.7855394950611</v>
      </c>
      <c r="E46" s="35">
        <f t="shared" si="14"/>
        <v>297.5245006354811</v>
      </c>
    </row>
    <row r="47" spans="1:10" ht="17.100000000000001" customHeight="1">
      <c r="A47">
        <v>3</v>
      </c>
      <c r="B47" s="30">
        <f t="shared" si="15"/>
        <v>165.34669663865816</v>
      </c>
      <c r="C47" s="36">
        <f>CONVERT('Finisher Model - NE Metric'!D17,"kg","lbm")</f>
        <v>198.41603596638981</v>
      </c>
      <c r="D47" s="42">
        <f t="shared" si="16"/>
        <v>86.578904883069129</v>
      </c>
      <c r="E47" s="35">
        <f t="shared" si="14"/>
        <v>384.10340551855023</v>
      </c>
    </row>
    <row r="48" spans="1:10" ht="18" customHeight="1">
      <c r="A48">
        <v>4</v>
      </c>
      <c r="B48" s="30">
        <f t="shared" si="15"/>
        <v>198.41603596638981</v>
      </c>
      <c r="C48" s="36">
        <f>CONVERT('Finisher Model - NE Metric'!D18,"kg","lbm")</f>
        <v>242.50848840336533</v>
      </c>
      <c r="D48" s="42">
        <f>IF(C48="","",(E48-E47))</f>
        <v>127.69738456112992</v>
      </c>
      <c r="E48" s="35">
        <f t="shared" si="14"/>
        <v>511.80079007968016</v>
      </c>
    </row>
    <row r="49" spans="1:11">
      <c r="A49">
        <v>5</v>
      </c>
      <c r="B49" s="30">
        <f t="shared" si="15"/>
        <v>242.50848840336533</v>
      </c>
      <c r="C49" s="244">
        <f>CONVERT('Finisher Model - NE Metric'!D19,"kg","lbm")</f>
        <v>286.6009408403408</v>
      </c>
      <c r="D49" s="42">
        <f>IF(C49="","",(E49-E48))</f>
        <v>141.70749280917278</v>
      </c>
      <c r="E49" s="35">
        <f t="shared" si="14"/>
        <v>653.50828288885293</v>
      </c>
    </row>
    <row r="50" spans="1:11" ht="16.5" thickBot="1">
      <c r="A50">
        <v>6</v>
      </c>
      <c r="B50" s="37">
        <f t="shared" si="15"/>
        <v>286.6009408403408</v>
      </c>
      <c r="C50" s="60">
        <f>CONVERT('Finisher Model - NE Metric'!D20,"kg","lbm")</f>
        <v>0</v>
      </c>
      <c r="D50" s="61">
        <f>IF(C50="","",(E50-E49))</f>
        <v>-670.6680183258527</v>
      </c>
      <c r="E50" s="64">
        <f t="shared" si="14"/>
        <v>-17.15973543699976</v>
      </c>
    </row>
    <row r="51" spans="1:11">
      <c r="B51" s="3">
        <f t="shared" si="15"/>
        <v>0</v>
      </c>
    </row>
    <row r="55" spans="1:11" ht="90">
      <c r="B55" s="47" t="s">
        <v>77</v>
      </c>
      <c r="C55" s="47" t="s">
        <v>78</v>
      </c>
      <c r="D55" s="65" t="s">
        <v>79</v>
      </c>
      <c r="E55" s="65"/>
      <c r="F55" s="65"/>
      <c r="G55" s="65"/>
      <c r="H55" s="5"/>
      <c r="I55" s="66" t="s">
        <v>80</v>
      </c>
    </row>
    <row r="56" spans="1:11">
      <c r="B56" s="48" t="s">
        <v>81</v>
      </c>
      <c r="C56" s="48" t="s">
        <v>81</v>
      </c>
      <c r="D56" s="48" t="s">
        <v>82</v>
      </c>
      <c r="E56" s="48" t="s">
        <v>83</v>
      </c>
      <c r="F56" s="48" t="s">
        <v>84</v>
      </c>
      <c r="G56" s="48"/>
      <c r="I56" s="67"/>
      <c r="J56" s="48" t="s">
        <v>92</v>
      </c>
      <c r="K56" t="s">
        <v>153</v>
      </c>
    </row>
    <row r="57" spans="1:11">
      <c r="B57" s="47">
        <v>81</v>
      </c>
      <c r="C57" s="49">
        <v>110.17670623134534</v>
      </c>
      <c r="D57" s="6">
        <v>16.864782047899471</v>
      </c>
      <c r="E57" s="6">
        <v>14.510728742835685</v>
      </c>
      <c r="F57" s="49">
        <v>15.687755395367578</v>
      </c>
      <c r="G57" s="49"/>
      <c r="I57" s="51">
        <v>0.73518262408316082</v>
      </c>
      <c r="J57" s="50">
        <f>($B$31*I57)*100</f>
        <v>72.613376012064478</v>
      </c>
      <c r="K57" s="6">
        <f>J57*$B$35</f>
        <v>72.025799493698571</v>
      </c>
    </row>
    <row r="58" spans="1:11">
      <c r="B58" s="47">
        <v>82</v>
      </c>
      <c r="C58" s="49">
        <v>111.4039519642067</v>
      </c>
      <c r="D58" s="6">
        <v>17.074455706764272</v>
      </c>
      <c r="E58" s="6">
        <v>14.613701440729169</v>
      </c>
      <c r="F58" s="49">
        <v>15.844078573746721</v>
      </c>
      <c r="G58" s="49"/>
      <c r="I58" s="51">
        <v>0.73606006388665657</v>
      </c>
      <c r="J58" s="50">
        <f t="shared" ref="J58:J96" si="17">($B$31*I58)*100</f>
        <v>72.700040011310435</v>
      </c>
      <c r="K58" s="6">
        <f t="shared" ref="K58:K96" si="18">J58*$B$35</f>
        <v>72.111762220896026</v>
      </c>
    </row>
    <row r="59" spans="1:11">
      <c r="B59" s="47">
        <v>83</v>
      </c>
      <c r="C59" s="49">
        <v>112.6282752396024</v>
      </c>
      <c r="D59" s="6">
        <v>17.284147265806148</v>
      </c>
      <c r="E59" s="6">
        <v>14.71614342750836</v>
      </c>
      <c r="F59" s="49">
        <v>16.000145346657256</v>
      </c>
      <c r="G59" s="49"/>
      <c r="I59" s="51">
        <v>0.73693750369015243</v>
      </c>
      <c r="J59" s="50">
        <f t="shared" si="17"/>
        <v>72.78670401055642</v>
      </c>
      <c r="K59" s="6">
        <f t="shared" si="18"/>
        <v>72.197724948093509</v>
      </c>
    </row>
    <row r="60" spans="1:11">
      <c r="B60" s="47">
        <v>84</v>
      </c>
      <c r="C60" s="49">
        <v>113.84968648405146</v>
      </c>
      <c r="D60" s="6">
        <v>17.493856510850449</v>
      </c>
      <c r="E60" s="6">
        <v>14.81806378371237</v>
      </c>
      <c r="F60" s="49">
        <v>16.155960147281409</v>
      </c>
      <c r="G60" s="49"/>
      <c r="I60" s="51">
        <v>0.73781494349364829</v>
      </c>
      <c r="J60" s="50">
        <f t="shared" si="17"/>
        <v>72.873368009802391</v>
      </c>
      <c r="K60" s="6">
        <f t="shared" si="18"/>
        <v>72.283687675290977</v>
      </c>
    </row>
    <row r="61" spans="1:11">
      <c r="B61" s="47">
        <v>85</v>
      </c>
      <c r="C61" s="49">
        <v>115.06819607453319</v>
      </c>
      <c r="D61" s="6">
        <v>17.703583232804778</v>
      </c>
      <c r="E61" s="6">
        <v>14.919471328516645</v>
      </c>
      <c r="F61" s="49">
        <v>16.311527280660712</v>
      </c>
      <c r="G61" s="49"/>
      <c r="H61" s="50"/>
      <c r="I61" s="51">
        <v>0.73869238329714404</v>
      </c>
      <c r="J61" s="50">
        <f t="shared" si="17"/>
        <v>72.960032009048362</v>
      </c>
      <c r="K61" s="6">
        <f t="shared" si="18"/>
        <v>72.369650402488446</v>
      </c>
    </row>
    <row r="62" spans="1:11">
      <c r="B62" s="47">
        <v>86</v>
      </c>
      <c r="C62" s="49">
        <v>116.28381433878111</v>
      </c>
      <c r="D62" s="6">
        <v>17.913327227479776</v>
      </c>
      <c r="E62" s="6">
        <v>15.020374630235036</v>
      </c>
      <c r="F62" s="49">
        <v>16.466850928857404</v>
      </c>
      <c r="G62" s="49"/>
      <c r="H62" s="49"/>
      <c r="I62" s="51">
        <v>0.7395698231006399</v>
      </c>
      <c r="J62" s="50">
        <f t="shared" si="17"/>
        <v>73.046696008294333</v>
      </c>
      <c r="K62" s="6">
        <f t="shared" si="18"/>
        <v>72.455613129685915</v>
      </c>
    </row>
    <row r="63" spans="1:11">
      <c r="B63" s="47">
        <v>87</v>
      </c>
      <c r="C63" s="49">
        <v>117.49655155557477</v>
      </c>
      <c r="D63" s="6">
        <v>18.123088295418643</v>
      </c>
      <c r="E63" s="6">
        <v>15.120782016283018</v>
      </c>
      <c r="F63" s="49">
        <v>16.621935155850831</v>
      </c>
      <c r="G63" s="49"/>
      <c r="H63" s="49"/>
      <c r="I63" s="51">
        <v>0.74044726290413565</v>
      </c>
      <c r="J63" s="50">
        <f t="shared" si="17"/>
        <v>73.13336000754029</v>
      </c>
      <c r="K63" s="6">
        <f t="shared" si="18"/>
        <v>72.54157585688337</v>
      </c>
    </row>
    <row r="64" spans="1:11">
      <c r="B64" s="47">
        <v>88</v>
      </c>
      <c r="C64" s="49">
        <v>118.70641795502937</v>
      </c>
      <c r="D64" s="6">
        <v>18.332866241734184</v>
      </c>
      <c r="E64" s="6">
        <v>15.220701582635391</v>
      </c>
      <c r="F64" s="49">
        <v>16.776783912184786</v>
      </c>
      <c r="G64" s="49"/>
      <c r="H64" s="49"/>
      <c r="I64" s="51">
        <v>0.74132470270763151</v>
      </c>
      <c r="J64" s="50">
        <f t="shared" si="17"/>
        <v>73.220024006786275</v>
      </c>
      <c r="K64" s="6">
        <f t="shared" si="18"/>
        <v>72.627538584080853</v>
      </c>
    </row>
    <row r="65" spans="2:11">
      <c r="B65" s="47">
        <v>89</v>
      </c>
      <c r="C65" s="49">
        <v>119.91342371888354</v>
      </c>
      <c r="D65" s="6">
        <v>18.542660875953423</v>
      </c>
      <c r="E65" s="6">
        <v>15.320141202809715</v>
      </c>
      <c r="F65" s="49">
        <v>16.931401039381569</v>
      </c>
      <c r="G65" s="49"/>
      <c r="H65" s="49"/>
      <c r="I65" s="51">
        <v>0.74220214251112737</v>
      </c>
      <c r="J65" s="50">
        <f t="shared" si="17"/>
        <v>73.306688006032246</v>
      </c>
      <c r="K65" s="6">
        <f t="shared" si="18"/>
        <v>72.713501311278321</v>
      </c>
    </row>
    <row r="66" spans="2:11">
      <c r="B66" s="5">
        <v>90</v>
      </c>
      <c r="C66" s="49">
        <v>121.11757898078487</v>
      </c>
      <c r="D66" s="6">
        <v>18.752472011869195</v>
      </c>
      <c r="E66" s="6">
        <v>15.419108536404257</v>
      </c>
      <c r="F66" s="49">
        <v>17.085790274136727</v>
      </c>
      <c r="G66" s="49"/>
      <c r="H66" s="6"/>
      <c r="I66" s="51">
        <v>0.74307958231462312</v>
      </c>
      <c r="J66" s="50">
        <f t="shared" si="17"/>
        <v>73.393352005278217</v>
      </c>
      <c r="K66" s="6">
        <f t="shared" si="18"/>
        <v>72.79946403847579</v>
      </c>
    </row>
    <row r="67" spans="2:11">
      <c r="B67" s="5">
        <v>91</v>
      </c>
      <c r="C67" s="49">
        <v>122.31889382657351</v>
      </c>
      <c r="D67" s="6">
        <v>18.962299467398132</v>
      </c>
      <c r="E67" s="6">
        <v>15.517611037217174</v>
      </c>
      <c r="F67" s="49">
        <v>17.239955252307652</v>
      </c>
      <c r="G67" s="49"/>
      <c r="H67" s="6"/>
      <c r="I67" s="51">
        <v>0.74395702211811898</v>
      </c>
      <c r="J67" s="50">
        <f t="shared" si="17"/>
        <v>73.480016004524188</v>
      </c>
      <c r="K67" s="6">
        <f t="shared" si="18"/>
        <v>72.885426765673259</v>
      </c>
    </row>
    <row r="68" spans="2:11">
      <c r="B68" s="5">
        <v>92</v>
      </c>
      <c r="C68" s="49">
        <v>123.51737829456385</v>
      </c>
      <c r="D68" s="6">
        <v>19.172143064445141</v>
      </c>
      <c r="E68" s="6">
        <v>15.615655960971905</v>
      </c>
      <c r="F68" s="49">
        <v>17.393899512708522</v>
      </c>
      <c r="G68" s="49"/>
      <c r="H68" s="6"/>
      <c r="I68" s="51">
        <v>0.74483446192161473</v>
      </c>
      <c r="J68" s="50">
        <f t="shared" si="17"/>
        <v>73.566680003770145</v>
      </c>
      <c r="K68" s="6">
        <f t="shared" si="18"/>
        <v>72.971389492870713</v>
      </c>
    </row>
    <row r="69" spans="2:11">
      <c r="B69" s="5">
        <v>93</v>
      </c>
      <c r="C69" s="49">
        <v>124.71304237582397</v>
      </c>
      <c r="D69" s="6">
        <v>19.382002628773577</v>
      </c>
      <c r="E69" s="6">
        <v>15.713250372671933</v>
      </c>
      <c r="F69" s="49">
        <v>17.547626500722757</v>
      </c>
      <c r="G69" s="49"/>
      <c r="H69" s="6"/>
      <c r="I69" s="51">
        <v>0.74571190172511059</v>
      </c>
      <c r="J69" s="50">
        <f t="shared" si="17"/>
        <v>73.65334400301613</v>
      </c>
      <c r="K69" s="6">
        <f t="shared" si="18"/>
        <v>73.057352220068196</v>
      </c>
    </row>
    <row r="70" spans="2:11">
      <c r="B70" s="5">
        <v>94</v>
      </c>
      <c r="C70" s="49">
        <v>125.90589601445348</v>
      </c>
      <c r="D70" s="6">
        <v>19.591877989881006</v>
      </c>
      <c r="E70" s="6">
        <v>15.81040115360647</v>
      </c>
      <c r="F70" s="49">
        <v>17.701139571743738</v>
      </c>
      <c r="G70" s="49"/>
      <c r="H70" s="6"/>
      <c r="I70" s="51">
        <v>0.74658934152860634</v>
      </c>
      <c r="J70" s="50">
        <f t="shared" si="17"/>
        <v>73.740008002262087</v>
      </c>
      <c r="K70" s="6">
        <f t="shared" si="18"/>
        <v>73.143314947265651</v>
      </c>
    </row>
    <row r="71" spans="2:11">
      <c r="B71" s="5">
        <v>95</v>
      </c>
      <c r="C71" s="49">
        <v>127.09594910785896</v>
      </c>
      <c r="D71" s="6">
        <v>19.80176898088045</v>
      </c>
      <c r="E71" s="6">
        <v>15.907115008027194</v>
      </c>
      <c r="F71" s="49">
        <v>17.854441994453822</v>
      </c>
      <c r="G71" s="49"/>
      <c r="H71" s="6"/>
      <c r="I71" s="51">
        <v>0.7474667813321022</v>
      </c>
      <c r="J71" s="50">
        <f t="shared" si="17"/>
        <v>73.826672001508058</v>
      </c>
      <c r="K71" s="6">
        <f t="shared" si="18"/>
        <v>73.22927767446312</v>
      </c>
    </row>
    <row r="72" spans="2:11">
      <c r="B72" s="5">
        <v>96</v>
      </c>
      <c r="C72" s="49">
        <v>128.28321150702794</v>
      </c>
      <c r="D72" s="6">
        <v>20.011675438386312</v>
      </c>
      <c r="E72" s="6">
        <v>16.003398469514622</v>
      </c>
      <c r="F72" s="49">
        <v>18.007536953950467</v>
      </c>
      <c r="G72" s="49"/>
      <c r="H72" s="6"/>
      <c r="I72" s="51">
        <v>0.74834422113559795</v>
      </c>
      <c r="J72" s="50">
        <f t="shared" si="17"/>
        <v>73.913336000754029</v>
      </c>
      <c r="K72" s="6">
        <f t="shared" si="18"/>
        <v>73.315240401660589</v>
      </c>
    </row>
    <row r="73" spans="2:11">
      <c r="B73" s="5">
        <v>97</v>
      </c>
      <c r="C73" s="49">
        <v>129.46769301680052</v>
      </c>
      <c r="D73" s="6">
        <v>20.221597202405267</v>
      </c>
      <c r="E73" s="6">
        <v>16.099257907051943</v>
      </c>
      <c r="F73" s="49">
        <v>18.160427554728606</v>
      </c>
      <c r="G73" s="49"/>
      <c r="H73" s="6"/>
      <c r="I73" s="51">
        <v>0.74922166093909381</v>
      </c>
      <c r="J73" s="50">
        <f t="shared" si="17"/>
        <v>74</v>
      </c>
      <c r="K73" s="6">
        <f t="shared" si="18"/>
        <v>73.401203128858057</v>
      </c>
    </row>
    <row r="74" spans="2:11">
      <c r="B74" s="5">
        <v>98</v>
      </c>
      <c r="C74" s="49">
        <v>130.64940339613941</v>
      </c>
      <c r="D74" s="6">
        <v>20.43153411623155</v>
      </c>
      <c r="E74" s="6">
        <v>16.194699530822238</v>
      </c>
      <c r="F74" s="49">
        <v>18.313116823526894</v>
      </c>
      <c r="G74" s="49"/>
      <c r="H74" s="6"/>
      <c r="I74" s="51">
        <v>0.75009910074258968</v>
      </c>
      <c r="J74" s="50">
        <f t="shared" si="17"/>
        <v>74.086663999245985</v>
      </c>
      <c r="K74" s="6">
        <f t="shared" si="18"/>
        <v>73.48716585605554</v>
      </c>
    </row>
    <row r="75" spans="2:11">
      <c r="B75" s="5">
        <v>99</v>
      </c>
      <c r="C75" s="49">
        <v>131.82835235839786</v>
      </c>
      <c r="D75" s="6">
        <v>20.641486026346577</v>
      </c>
      <c r="E75" s="6">
        <v>16.289729397744711</v>
      </c>
      <c r="F75" s="49">
        <v>18.465607712045646</v>
      </c>
      <c r="G75" s="49"/>
      <c r="H75" s="6"/>
      <c r="I75" s="51">
        <v>0.75097654054608542</v>
      </c>
      <c r="J75" s="50">
        <f t="shared" si="17"/>
        <v>74.173327998491942</v>
      </c>
      <c r="K75" s="6">
        <f t="shared" si="18"/>
        <v>73.573128583252995</v>
      </c>
    </row>
    <row r="76" spans="2:11">
      <c r="B76" s="5">
        <v>100</v>
      </c>
      <c r="C76" s="49">
        <v>133.00454957158581</v>
      </c>
      <c r="D76" s="6">
        <v>20.851452782322603</v>
      </c>
      <c r="E76" s="6">
        <v>16.384353416763961</v>
      </c>
      <c r="F76" s="49">
        <v>18.617903099543284</v>
      </c>
      <c r="G76" s="49"/>
      <c r="H76" s="6"/>
      <c r="I76" s="51">
        <v>0.75185398034958129</v>
      </c>
      <c r="J76" s="50">
        <f t="shared" si="17"/>
        <v>74.259991997737913</v>
      </c>
      <c r="K76" s="6">
        <f t="shared" si="18"/>
        <v>73.659091310450464</v>
      </c>
    </row>
    <row r="77" spans="2:11">
      <c r="B77" s="5">
        <v>101</v>
      </c>
      <c r="C77" s="49">
        <v>134.17800465863434</v>
      </c>
      <c r="D77" s="6">
        <v>21.061434236730111</v>
      </c>
      <c r="E77" s="6">
        <v>16.478577353905742</v>
      </c>
      <c r="F77" s="49">
        <v>18.770005795317928</v>
      </c>
      <c r="G77" s="49"/>
      <c r="H77" s="6"/>
      <c r="I77" s="51">
        <v>0.75273142015307704</v>
      </c>
      <c r="J77" s="50">
        <f t="shared" si="17"/>
        <v>74.346655996983884</v>
      </c>
      <c r="K77" s="6">
        <f t="shared" si="18"/>
        <v>73.745054037647932</v>
      </c>
    </row>
    <row r="78" spans="2:11">
      <c r="B78" s="5">
        <v>102</v>
      </c>
      <c r="C78" s="49">
        <v>135.34872719765769</v>
      </c>
      <c r="D78" s="6">
        <v>21.27143024504899</v>
      </c>
      <c r="E78" s="6">
        <v>16.572406837111849</v>
      </c>
      <c r="F78" s="49">
        <v>18.921918541080419</v>
      </c>
      <c r="G78" s="49"/>
      <c r="H78" s="6"/>
      <c r="I78" s="51">
        <v>0.7536088599565729</v>
      </c>
      <c r="J78" s="50">
        <f t="shared" si="17"/>
        <v>74.433319996229855</v>
      </c>
      <c r="K78" s="6">
        <f t="shared" si="18"/>
        <v>73.831016764845415</v>
      </c>
    </row>
    <row r="79" spans="2:11">
      <c r="B79" s="5">
        <v>103</v>
      </c>
      <c r="C79" s="49">
        <v>136.51672672221434</v>
      </c>
      <c r="D79" s="6">
        <v>21.481440665583278</v>
      </c>
      <c r="E79" s="6">
        <v>16.665847360865602</v>
      </c>
      <c r="F79" s="49">
        <v>19.073644013224438</v>
      </c>
      <c r="G79" s="49"/>
      <c r="H79" s="6"/>
      <c r="I79" s="51">
        <v>0.75448629976006876</v>
      </c>
      <c r="J79" s="50">
        <f t="shared" si="17"/>
        <v>74.51998399547584</v>
      </c>
      <c r="K79" s="6">
        <f t="shared" si="18"/>
        <v>73.916979492042898</v>
      </c>
    </row>
    <row r="80" spans="2:11">
      <c r="B80" s="5">
        <v>104</v>
      </c>
      <c r="C80" s="49">
        <v>137.68201272156554</v>
      </c>
      <c r="D80" s="6">
        <v>21.69146535937886</v>
      </c>
      <c r="E80" s="6">
        <v>16.758904290619089</v>
      </c>
      <c r="F80" s="49">
        <v>19.225184824998976</v>
      </c>
      <c r="G80" s="49"/>
      <c r="H80" s="6"/>
      <c r="I80" s="51">
        <v>0.75536373956356451</v>
      </c>
      <c r="J80" s="50">
        <f t="shared" si="17"/>
        <v>74.606647994721797</v>
      </c>
      <c r="K80" s="6">
        <f t="shared" si="18"/>
        <v>74.002942219240353</v>
      </c>
    </row>
    <row r="81" spans="2:11">
      <c r="B81" s="5">
        <v>105</v>
      </c>
      <c r="C81" s="49">
        <v>138.84459464093223</v>
      </c>
      <c r="D81" s="6">
        <v>21.901504190144763</v>
      </c>
      <c r="E81" s="6">
        <v>16.851582867032572</v>
      </c>
      <c r="F81" s="49">
        <v>19.37654352858867</v>
      </c>
      <c r="G81" s="49"/>
      <c r="H81" s="6"/>
      <c r="I81" s="51">
        <v>0.75624117936706026</v>
      </c>
      <c r="J81" s="50">
        <f t="shared" si="17"/>
        <v>74.693311993967754</v>
      </c>
      <c r="K81" s="6">
        <f t="shared" si="18"/>
        <v>74.088904946437808</v>
      </c>
    </row>
    <row r="82" spans="2:11">
      <c r="B82" s="5">
        <v>106</v>
      </c>
      <c r="C82" s="49">
        <v>140.00448188175039</v>
      </c>
      <c r="D82" s="6">
        <v>22.111557024177106</v>
      </c>
      <c r="E82" s="6">
        <v>16.943888210035503</v>
      </c>
      <c r="F82" s="49">
        <v>19.527722617106306</v>
      </c>
      <c r="G82" s="49"/>
      <c r="H82" s="6"/>
      <c r="I82" s="51">
        <v>0.75711861917055612</v>
      </c>
      <c r="J82" s="50">
        <f t="shared" si="17"/>
        <v>74.779975993213725</v>
      </c>
      <c r="K82" s="6">
        <f t="shared" si="18"/>
        <v>74.174867673635276</v>
      </c>
    </row>
    <row r="83" spans="2:11">
      <c r="B83" s="5">
        <v>107</v>
      </c>
      <c r="C83" s="49">
        <v>141.16168380192445</v>
      </c>
      <c r="D83" s="6">
        <v>22.321623730286092</v>
      </c>
      <c r="E83" s="6">
        <v>17.035825322718448</v>
      </c>
      <c r="F83" s="49">
        <v>19.678724526502272</v>
      </c>
      <c r="G83" s="49"/>
      <c r="H83" s="6"/>
      <c r="I83" s="51">
        <v>0.75799605897405198</v>
      </c>
      <c r="J83" s="50">
        <f t="shared" si="17"/>
        <v>74.86663999245971</v>
      </c>
      <c r="K83" s="6">
        <f t="shared" si="18"/>
        <v>74.260830400832759</v>
      </c>
    </row>
    <row r="84" spans="2:11">
      <c r="B84" s="5">
        <v>108</v>
      </c>
      <c r="C84" s="49">
        <v>142.31620971607887</v>
      </c>
      <c r="D84" s="6">
        <v>22.531704179725708</v>
      </c>
      <c r="E84" s="6">
        <v>17.127399095064437</v>
      </c>
      <c r="F84" s="49">
        <v>19.82955163739507</v>
      </c>
      <c r="G84" s="49"/>
      <c r="H84" s="6"/>
      <c r="I84" s="51">
        <v>0.75887349877754773</v>
      </c>
      <c r="J84" s="50">
        <f t="shared" si="17"/>
        <v>74.953303991705681</v>
      </c>
      <c r="K84" s="6">
        <f t="shared" si="18"/>
        <v>74.346793128030228</v>
      </c>
    </row>
    <row r="85" spans="2:11">
      <c r="B85" s="5">
        <v>109</v>
      </c>
      <c r="C85" s="49">
        <v>143.46806889580807</v>
      </c>
      <c r="D85" s="6">
        <v>22.741798246125917</v>
      </c>
      <c r="E85" s="6">
        <v>17.218614307527691</v>
      </c>
      <c r="F85" s="49">
        <v>19.980206276826806</v>
      </c>
      <c r="G85" s="49"/>
      <c r="H85" s="6"/>
      <c r="I85" s="51">
        <v>0.75975093858104359</v>
      </c>
      <c r="J85" s="50">
        <f t="shared" si="17"/>
        <v>75.039967990951652</v>
      </c>
      <c r="K85" s="6">
        <f t="shared" si="18"/>
        <v>74.432755855227697</v>
      </c>
    </row>
    <row r="86" spans="2:11">
      <c r="B86" s="5">
        <v>110</v>
      </c>
      <c r="C86" s="49">
        <v>144.61727056992473</v>
      </c>
      <c r="D86" s="6">
        <v>22.951905805427518</v>
      </c>
      <c r="E86" s="6">
        <v>17.309475634467464</v>
      </c>
      <c r="F86" s="49">
        <v>20.130690719947491</v>
      </c>
      <c r="G86" s="49"/>
      <c r="H86" s="6"/>
      <c r="I86" s="51">
        <v>0.76062837838453934</v>
      </c>
      <c r="J86" s="50">
        <f t="shared" si="17"/>
        <v>75.126631990197609</v>
      </c>
      <c r="K86" s="6">
        <f t="shared" si="18"/>
        <v>74.518718582425151</v>
      </c>
    </row>
    <row r="87" spans="2:11">
      <c r="B87" s="5">
        <v>111</v>
      </c>
      <c r="C87" s="49">
        <v>145.76382392470609</v>
      </c>
      <c r="D87" s="6">
        <v>23.162026735819119</v>
      </c>
      <c r="E87" s="6">
        <v>17.399987647444007</v>
      </c>
      <c r="F87" s="49">
        <v>20.281007191631563</v>
      </c>
      <c r="G87" s="49"/>
      <c r="H87" s="6"/>
      <c r="I87" s="51">
        <v>0.7615058181880352</v>
      </c>
      <c r="J87" s="50">
        <f t="shared" si="17"/>
        <v>75.21329598944358</v>
      </c>
      <c r="K87" s="6">
        <f t="shared" si="18"/>
        <v>74.60468130962262</v>
      </c>
    </row>
    <row r="88" spans="2:11">
      <c r="B88" s="5">
        <v>112</v>
      </c>
      <c r="C88" s="49">
        <v>146.9077381041389</v>
      </c>
      <c r="D88" s="6">
        <v>23.372160917676677</v>
      </c>
      <c r="E88" s="6">
        <v>17.49015481838342</v>
      </c>
      <c r="F88" s="49">
        <v>20.431157868030049</v>
      </c>
      <c r="G88" s="49"/>
      <c r="H88" s="6"/>
      <c r="I88" s="51">
        <v>0.76238325799153106</v>
      </c>
      <c r="J88" s="50">
        <f t="shared" si="17"/>
        <v>75.299959988689551</v>
      </c>
      <c r="K88" s="6">
        <f t="shared" si="18"/>
        <v>74.690644036820089</v>
      </c>
    </row>
    <row r="89" spans="2:11">
      <c r="B89" s="5">
        <v>113</v>
      </c>
      <c r="C89" s="49">
        <v>148.04902221016243</v>
      </c>
      <c r="D89" s="6">
        <v>23.582308233504943</v>
      </c>
      <c r="E89" s="6">
        <v>17.579981522617746</v>
      </c>
      <c r="F89" s="49">
        <v>20.581144878061345</v>
      </c>
      <c r="G89" s="49"/>
      <c r="H89" s="6"/>
      <c r="I89" s="51">
        <v>0.76326069779502681</v>
      </c>
      <c r="J89" s="50">
        <f t="shared" si="17"/>
        <v>75.386623987935536</v>
      </c>
      <c r="K89" s="6">
        <f t="shared" si="18"/>
        <v>74.776606764017572</v>
      </c>
    </row>
    <row r="90" spans="2:11">
      <c r="B90" s="5">
        <v>114</v>
      </c>
      <c r="C90" s="49">
        <v>149.18768530290981</v>
      </c>
      <c r="D90" s="6">
        <v>23.792468567881055</v>
      </c>
      <c r="E90" s="6">
        <v>17.66947204180623</v>
      </c>
      <c r="F90" s="49">
        <v>20.730970304843645</v>
      </c>
      <c r="G90" s="49"/>
      <c r="H90" s="6"/>
      <c r="I90" s="51">
        <v>0.76413813759852267</v>
      </c>
      <c r="J90" s="50">
        <f t="shared" si="17"/>
        <v>75.473287987181507</v>
      </c>
      <c r="K90" s="6">
        <f t="shared" si="18"/>
        <v>74.862569491215041</v>
      </c>
    </row>
    <row r="91" spans="2:11">
      <c r="B91" s="5">
        <v>115</v>
      </c>
      <c r="C91" s="49">
        <v>150.32373640094792</v>
      </c>
      <c r="D91" s="6">
        <v>24.002641807400256</v>
      </c>
      <c r="E91" s="6">
        <v>17.758630566743491</v>
      </c>
      <c r="F91" s="49">
        <v>20.880636187071872</v>
      </c>
      <c r="G91" s="49"/>
      <c r="H91" s="6"/>
      <c r="I91" s="51">
        <v>0.76501557740201842</v>
      </c>
      <c r="J91" s="50">
        <f t="shared" si="17"/>
        <v>75.559951986427464</v>
      </c>
      <c r="K91" s="6">
        <f t="shared" si="18"/>
        <v>74.948532218412495</v>
      </c>
    </row>
    <row r="92" spans="2:11">
      <c r="B92" s="5">
        <v>116</v>
      </c>
      <c r="C92" s="49">
        <v>151.45718448151536</v>
      </c>
      <c r="D92" s="6">
        <v>24.212827840623181</v>
      </c>
      <c r="E92" s="6">
        <v>17.847461200059801</v>
      </c>
      <c r="F92" s="49">
        <v>21.030144520341491</v>
      </c>
      <c r="G92" s="49"/>
      <c r="H92" s="6"/>
      <c r="I92" s="51">
        <v>0.76589301720551428</v>
      </c>
      <c r="J92" s="50">
        <f t="shared" si="17"/>
        <v>75.646615985673435</v>
      </c>
      <c r="K92" s="6">
        <f t="shared" si="18"/>
        <v>75.034494945609964</v>
      </c>
    </row>
    <row r="93" spans="2:11">
      <c r="B93" s="5">
        <v>117</v>
      </c>
      <c r="C93" s="49">
        <v>152.58803848075902</v>
      </c>
      <c r="D93" s="6">
        <v>24.423026558025349</v>
      </c>
      <c r="E93" s="6">
        <v>17.935967958818601</v>
      </c>
      <c r="F93" s="49">
        <v>21.179497258421975</v>
      </c>
      <c r="G93" s="49"/>
      <c r="H93" s="6"/>
      <c r="I93" s="51">
        <v>0.76677045700901003</v>
      </c>
      <c r="J93" s="50">
        <f t="shared" si="17"/>
        <v>75.733279984919406</v>
      </c>
      <c r="K93" s="6">
        <f t="shared" si="18"/>
        <v>75.120457672807433</v>
      </c>
    </row>
    <row r="94" spans="2:11">
      <c r="B94" s="5">
        <v>118</v>
      </c>
      <c r="C94" s="49">
        <v>153.71630729396878</v>
      </c>
      <c r="D94" s="6">
        <v>24.633237851947925</v>
      </c>
      <c r="E94" s="6">
        <v>18.024154777015983</v>
      </c>
      <c r="F94" s="49">
        <v>21.328696314481952</v>
      </c>
      <c r="G94" s="49"/>
      <c r="H94" s="6"/>
      <c r="I94" s="51">
        <v>0.76764789681250589</v>
      </c>
      <c r="J94" s="50">
        <f t="shared" si="17"/>
        <v>75.819943984165377</v>
      </c>
      <c r="K94" s="6">
        <f t="shared" si="18"/>
        <v>75.206420400004902</v>
      </c>
    </row>
    <row r="95" spans="2:11">
      <c r="B95" s="5">
        <v>119</v>
      </c>
      <c r="C95" s="49">
        <v>154.84199977581099</v>
      </c>
      <c r="D95" s="6">
        <v>24.843461616550663</v>
      </c>
      <c r="E95" s="6">
        <v>18.112025507986587</v>
      </c>
      <c r="F95" s="49">
        <v>21.477743562268625</v>
      </c>
      <c r="G95" s="49"/>
      <c r="H95" s="6"/>
      <c r="I95" s="51">
        <v>0.76852533661600164</v>
      </c>
      <c r="J95" s="50">
        <f t="shared" si="17"/>
        <v>75.906607983411348</v>
      </c>
      <c r="K95" s="6">
        <f t="shared" si="18"/>
        <v>75.29238312720237</v>
      </c>
    </row>
    <row r="96" spans="2:11">
      <c r="B96" s="5">
        <v>120</v>
      </c>
      <c r="C96" s="49">
        <v>155.96512474055984</v>
      </c>
      <c r="D96" s="6">
        <v>25.053697747765945</v>
      </c>
      <c r="E96" s="6">
        <v>18.199583926720305</v>
      </c>
      <c r="F96" s="49">
        <v>21.626640837243123</v>
      </c>
      <c r="G96" s="49"/>
      <c r="H96" s="6"/>
      <c r="I96" s="51">
        <v>0.7694027764194975</v>
      </c>
      <c r="J96" s="50">
        <f t="shared" si="17"/>
        <v>75.993271982657319</v>
      </c>
      <c r="K96" s="6">
        <f t="shared" si="18"/>
        <v>75.378345854399839</v>
      </c>
    </row>
  </sheetData>
  <mergeCells count="6">
    <mergeCell ref="B40:E40"/>
    <mergeCell ref="A1:O1"/>
    <mergeCell ref="A2:A4"/>
    <mergeCell ref="J2:K3"/>
    <mergeCell ref="B39:E39"/>
    <mergeCell ref="B2: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73079-A560-004B-A120-67A5C485B3DD}">
  <sheetPr codeName="Sheet6">
    <tabColor rgb="FFFFFF00"/>
  </sheetPr>
  <dimension ref="A1:P104"/>
  <sheetViews>
    <sheetView topLeftCell="A4" zoomScale="85" zoomScaleNormal="85" workbookViewId="0">
      <selection activeCell="B28" sqref="B28"/>
    </sheetView>
  </sheetViews>
  <sheetFormatPr defaultColWidth="10.625" defaultRowHeight="15.75"/>
  <cols>
    <col min="1" max="1" width="69.625" bestFit="1" customWidth="1"/>
    <col min="2" max="2" width="11.125" customWidth="1"/>
    <col min="3" max="3" width="11.625" bestFit="1" customWidth="1"/>
    <col min="4" max="4" width="11" bestFit="1" customWidth="1"/>
    <col min="5" max="6" width="11.625" bestFit="1" customWidth="1"/>
    <col min="7" max="7" width="11.625" customWidth="1"/>
    <col min="10" max="10" width="32.125" customWidth="1"/>
    <col min="11" max="11" width="13.625" bestFit="1" customWidth="1"/>
    <col min="12" max="12" width="13.625" customWidth="1"/>
  </cols>
  <sheetData>
    <row r="1" spans="1:16" ht="21">
      <c r="A1" s="290" t="s">
        <v>26</v>
      </c>
      <c r="B1" s="290"/>
      <c r="C1" s="290"/>
      <c r="D1" s="290"/>
      <c r="E1" s="290"/>
      <c r="F1" s="290"/>
      <c r="G1" s="290"/>
      <c r="H1" s="290"/>
      <c r="I1" s="290"/>
      <c r="J1" s="290"/>
      <c r="K1" s="290"/>
      <c r="L1" s="290"/>
      <c r="M1" s="290"/>
      <c r="N1" s="290"/>
      <c r="O1" s="290"/>
    </row>
    <row r="2" spans="1:16">
      <c r="A2" s="291" t="s">
        <v>27</v>
      </c>
      <c r="B2" s="293" t="s">
        <v>28</v>
      </c>
      <c r="C2" s="293"/>
      <c r="D2" s="293"/>
      <c r="E2" s="293"/>
      <c r="F2" s="293"/>
      <c r="G2" s="293"/>
      <c r="H2" s="2"/>
      <c r="I2" s="2"/>
      <c r="J2" s="293" t="s">
        <v>29</v>
      </c>
      <c r="K2" s="293"/>
      <c r="L2" s="55"/>
      <c r="M2" s="2"/>
      <c r="N2" s="2"/>
      <c r="O2" s="2"/>
    </row>
    <row r="3" spans="1:16">
      <c r="A3" s="291"/>
      <c r="B3" s="293"/>
      <c r="C3" s="293"/>
      <c r="D3" s="293"/>
      <c r="E3" s="293"/>
      <c r="F3" s="293"/>
      <c r="G3" s="293"/>
      <c r="H3" s="2"/>
      <c r="I3" s="2"/>
      <c r="J3" s="293"/>
      <c r="K3" s="293"/>
      <c r="L3" s="55"/>
      <c r="M3" s="2"/>
      <c r="N3" s="2"/>
      <c r="O3" s="2"/>
    </row>
    <row r="4" spans="1:16">
      <c r="A4" s="291"/>
      <c r="B4" s="8">
        <v>1</v>
      </c>
      <c r="C4" s="8">
        <v>2</v>
      </c>
      <c r="D4" s="8">
        <v>3</v>
      </c>
      <c r="E4" s="8">
        <v>4</v>
      </c>
      <c r="F4" s="8">
        <v>5</v>
      </c>
      <c r="G4" s="8">
        <v>6</v>
      </c>
      <c r="H4" s="2"/>
      <c r="I4" s="2"/>
      <c r="J4" s="2" t="s">
        <v>27</v>
      </c>
      <c r="K4" s="2" t="s">
        <v>30</v>
      </c>
      <c r="L4" s="2">
        <v>2</v>
      </c>
      <c r="M4" s="2">
        <v>3</v>
      </c>
      <c r="N4" s="2">
        <v>4</v>
      </c>
      <c r="O4" s="2">
        <v>5</v>
      </c>
      <c r="P4" s="2">
        <v>6</v>
      </c>
    </row>
    <row r="5" spans="1:16">
      <c r="A5" t="s">
        <v>177</v>
      </c>
      <c r="B5" s="3">
        <f>'Finisher Model - NE Metric'!C15</f>
        <v>23</v>
      </c>
      <c r="C5" s="3">
        <f>'Finisher Model - NE Metric'!C16</f>
        <v>50</v>
      </c>
      <c r="D5" s="3">
        <f>'Finisher Model - NE Metric'!C17</f>
        <v>75</v>
      </c>
      <c r="E5" s="3">
        <f>'Finisher Model - NE Metric'!C18</f>
        <v>90</v>
      </c>
      <c r="F5" s="3">
        <f>'Finisher Model - NE Metric'!C19</f>
        <v>110</v>
      </c>
      <c r="G5" s="3" t="str">
        <f>'Finisher Model - NE Metric'!C20</f>
        <v/>
      </c>
      <c r="J5" s="105" t="s">
        <v>48</v>
      </c>
    </row>
    <row r="6" spans="1:16">
      <c r="A6" t="s">
        <v>178</v>
      </c>
      <c r="B6" s="3">
        <f>'Finisher Model - NE Metric'!D15</f>
        <v>50</v>
      </c>
      <c r="C6" s="3">
        <f>'Finisher Model - NE Metric'!D16</f>
        <v>75</v>
      </c>
      <c r="D6" s="3">
        <f>'Finisher Model - NE Metric'!D17</f>
        <v>90</v>
      </c>
      <c r="E6" s="3">
        <f>'Finisher Model - NE Metric'!D18</f>
        <v>110</v>
      </c>
      <c r="F6" s="3">
        <f>'Finisher Model - NE Metric'!D19</f>
        <v>130</v>
      </c>
      <c r="G6" s="3">
        <f>'Finisher Model - NE Metric'!D20</f>
        <v>0</v>
      </c>
      <c r="J6" t="s">
        <v>186</v>
      </c>
      <c r="K6" s="243">
        <f>IF('Finisher Model - NE Metric'!$E$11=2,L6,IF('Finisher Model - NE Metric'!$E$11=3,M6,IF('Finisher Model - NE Metric'!$E$11=4,N6,IF('Finisher Model - NE Metric'!$E$11=5,O6,IF('Finisher Model - NE Metric'!$E$11=6,P6,"")))))</f>
        <v>0.974514283457111</v>
      </c>
      <c r="L6">
        <f>((SUM($B$22:$C$22)/SUM(B16:C16)))</f>
        <v>0.97612758357286156</v>
      </c>
      <c r="M6">
        <f>((SUM($B$22:$D$22)/SUM(B16:D16)))</f>
        <v>0.97608345255715512</v>
      </c>
      <c r="N6">
        <f>((SUM($B$22:$E$22)/SUM(B16:E16)))</f>
        <v>0.9742134569905978</v>
      </c>
      <c r="O6">
        <f>((SUM($B$22:$F$22)/SUM(B16:F16)))</f>
        <v>0.974514283457111</v>
      </c>
      <c r="P6" t="e">
        <f>((SUM($B$22:$G$22)/SUM(B16:G16)))</f>
        <v>#VALUE!</v>
      </c>
    </row>
    <row r="7" spans="1:16">
      <c r="A7" t="s">
        <v>185</v>
      </c>
      <c r="B7" s="3">
        <f>B6-B5</f>
        <v>27</v>
      </c>
      <c r="C7" s="3">
        <f t="shared" ref="C7:G7" si="0">C6-C5</f>
        <v>25</v>
      </c>
      <c r="D7" s="3">
        <f t="shared" si="0"/>
        <v>15</v>
      </c>
      <c r="E7" s="3">
        <f t="shared" si="0"/>
        <v>20</v>
      </c>
      <c r="F7" s="3">
        <f t="shared" si="0"/>
        <v>20</v>
      </c>
      <c r="G7" s="3" t="e">
        <f t="shared" si="0"/>
        <v>#VALUE!</v>
      </c>
      <c r="J7" t="s">
        <v>40</v>
      </c>
      <c r="K7" s="95">
        <f>IF('Finisher Model - NE Metric'!$E$11=2,L7,IF('Finisher Model - NE Metric'!$E$11=3,M7,IF('Finisher Model - NE Metric'!$E$11=4,N7,IF('Finisher Model - NE Metric'!$E$11=5,O7,IF('Finisher Model - NE Metric'!$E$11=6,P7,"")))))</f>
        <v>2.4901493947550524</v>
      </c>
      <c r="L7">
        <f>SUM($B$18:$C$18)/SUM($B$22:$C$22)</f>
        <v>2.0589023300901381</v>
      </c>
      <c r="M7">
        <f>SUM($B$18:$D$18)/SUM($B$22:$D$22)</f>
        <v>2.1765151659078432</v>
      </c>
      <c r="N7">
        <f>SUM($B$18:$E$18)/SUM($B$22:$E$22)</f>
        <v>2.3333322803314487</v>
      </c>
      <c r="O7">
        <f>SUM($B$18:$F$18)/SUM($B$22:$F$22)</f>
        <v>2.4901493947550524</v>
      </c>
      <c r="P7" t="e">
        <f>SUM($B$18:$G$18)/SUM($B$22:$G$22)</f>
        <v>#VALUE!</v>
      </c>
    </row>
    <row r="8" spans="1:16">
      <c r="A8" t="s">
        <v>31</v>
      </c>
      <c r="B8" s="4">
        <f>'Finisher Model - NE Metric'!E15</f>
        <v>2400</v>
      </c>
      <c r="C8" s="4">
        <f>'Finisher Model - NE Metric'!E16</f>
        <v>2400</v>
      </c>
      <c r="D8" s="4">
        <f>'Finisher Model - NE Metric'!E17</f>
        <v>2500</v>
      </c>
      <c r="E8" s="4">
        <f>'Finisher Model - NE Metric'!E18</f>
        <v>2200</v>
      </c>
      <c r="F8" s="4">
        <f>'Finisher Model - NE Metric'!E19</f>
        <v>2400</v>
      </c>
      <c r="G8" s="4">
        <f>'Finisher Model - NE Metric'!E20</f>
        <v>0</v>
      </c>
      <c r="J8" t="s">
        <v>183</v>
      </c>
      <c r="K8" s="95">
        <f>IF('Finisher Model - NE Metric'!$E$11=2,L8,IF('Finisher Model - NE Metric'!$E$11=3,M8,IF('Finisher Model - NE Metric'!$E$11=4,N8,IF('Finisher Model - NE Metric'!$E$11=5,O8,IF('Finisher Model - NE Metric'!$E$11=6,P8,"")))))</f>
        <v>2.4266861531308788</v>
      </c>
      <c r="L8">
        <f>SUM(B18:C18)/SUM(B16:C16)</f>
        <v>2.0097513562834206</v>
      </c>
      <c r="M8">
        <f>SUM(B18:D18)/SUM(B16:D16)</f>
        <v>2.1244604376823366</v>
      </c>
      <c r="N8">
        <f>SUM(B18:E18)/SUM(B16:E16)</f>
        <v>2.2731637071294553</v>
      </c>
      <c r="O8">
        <f>SUM(B18:F18)/SUM(B16:F16)</f>
        <v>2.4266861531308788</v>
      </c>
      <c r="P8" t="e">
        <f>SUM(B18:G18)/SUM(B16:G16)</f>
        <v>#VALUE!</v>
      </c>
    </row>
    <row r="9" spans="1:16">
      <c r="A9" t="s">
        <v>32</v>
      </c>
      <c r="B9" s="5">
        <f>'Finisher Model - NE Metric'!J15</f>
        <v>279.72000000000003</v>
      </c>
      <c r="C9" s="5">
        <f>'Finisher Model - NE Metric'!J16</f>
        <v>263.02</v>
      </c>
      <c r="D9" s="5">
        <f>'Finisher Model - NE Metric'!J17</f>
        <v>249.4</v>
      </c>
      <c r="E9" s="5">
        <f>'Finisher Model - NE Metric'!J18</f>
        <v>238.86</v>
      </c>
      <c r="F9" s="5">
        <f>'Finisher Model - NE Metric'!J19</f>
        <v>232.35</v>
      </c>
      <c r="G9" s="5">
        <f>'Finisher Model - NE Metric'!J20</f>
        <v>0</v>
      </c>
      <c r="J9" s="17" t="s">
        <v>41</v>
      </c>
      <c r="K9" s="95">
        <f>IF('Finisher Model - NE Metric'!$E$11=2,L9,IF('Finisher Model - NE Metric'!$E$11=3,M9,IF('Finisher Model - NE Metric'!$E$11=4,N9,IF('Finisher Model - NE Metric'!$E$11=5,O9,IF('Finisher Model - NE Metric'!$E$11=6,P9,"")))))</f>
        <v>109.79828804603575</v>
      </c>
      <c r="L9" s="15">
        <f>SUM(B16:C16)</f>
        <v>53.271724798173928</v>
      </c>
      <c r="M9" s="17">
        <f>SUM(B16:D16)</f>
        <v>68.641671800164829</v>
      </c>
      <c r="N9" s="17">
        <f>SUM(B16:E16)</f>
        <v>89.302810770801784</v>
      </c>
      <c r="O9" s="17">
        <f>SUM(B16:F16)</f>
        <v>109.79828804603575</v>
      </c>
      <c r="P9" s="15" t="e">
        <f>SUM(B16:G16)</f>
        <v>#VALUE!</v>
      </c>
    </row>
    <row r="10" spans="1:16">
      <c r="A10" t="s">
        <v>180</v>
      </c>
      <c r="B10" s="3">
        <f>AVERAGE(B5:B6)</f>
        <v>36.5</v>
      </c>
      <c r="C10" s="3">
        <f t="shared" ref="C10:E10" si="1">AVERAGE(C5:C6)</f>
        <v>62.5</v>
      </c>
      <c r="D10" s="3">
        <f t="shared" si="1"/>
        <v>82.5</v>
      </c>
      <c r="E10" s="3">
        <f t="shared" si="1"/>
        <v>100</v>
      </c>
      <c r="F10" s="3">
        <f>AVERAGE(F5:F6)</f>
        <v>120</v>
      </c>
      <c r="G10" s="3">
        <f>AVERAGE(G5:G6)</f>
        <v>0</v>
      </c>
      <c r="J10" s="17" t="s">
        <v>184</v>
      </c>
      <c r="K10" s="95">
        <f>IF('Finisher Model - NE Metric'!$E$11=2,L10,IF('Finisher Model - NE Metric'!$E$11=3,M10,IF('Finisher Model - NE Metric'!$E$11=4,N10,IF('Finisher Model - NE Metric'!$E$11=5,O10,IF('Finisher Model - NE Metric'!$E$11=6,P10,"")))))</f>
        <v>266.44598523879063</v>
      </c>
      <c r="L10" s="26">
        <f>SUM(B18:C18)</f>
        <v>107.06292116468718</v>
      </c>
      <c r="M10" s="26">
        <f>SUM(B18:D18)</f>
        <v>145.82651611582548</v>
      </c>
      <c r="N10" s="26">
        <f>SUM(B18:E18)</f>
        <v>202.99990838883602</v>
      </c>
      <c r="O10" s="26">
        <f>SUM(B18:F18)</f>
        <v>266.44598523879063</v>
      </c>
      <c r="P10" s="26">
        <f>SUM(B18:G18)</f>
        <v>-33.82927747303728</v>
      </c>
    </row>
    <row r="11" spans="1:16">
      <c r="A11" t="s">
        <v>56</v>
      </c>
      <c r="B11" s="9">
        <f>IFERROR(651.36+531.33*'Finisher Model - NE Metric'!Q23-216.9*('Finisher Model - NE Metric'!Q23*'Finisher Model - NE Metric'!Q23),"")</f>
        <v>976.7535667664647</v>
      </c>
      <c r="C11" s="9">
        <f>IFERROR(651.36+531.33*'Finisher Model - NE Metric'!Q24-216.9*('Finisher Model - NE Metric'!Q24*'Finisher Model - NE Metric'!Q24),"")</f>
        <v>975.45242231339148</v>
      </c>
      <c r="D11" s="9">
        <f>IFERROR(651.36+531.33*'Finisher Model - NE Metric'!Q25-216.9*('Finisher Model - NE Metric'!Q25*'Finisher Model - NE Metric'!Q25),"")</f>
        <v>975.93049592539421</v>
      </c>
      <c r="E11" s="9">
        <f>IFERROR(651.36+531.33*'Finisher Model - NE Metric'!Q26-216.9*('Finisher Model - NE Metric'!Q26*'Finisher Model - NE Metric'!Q26),"")</f>
        <v>968.00084585963305</v>
      </c>
      <c r="F11" s="9">
        <f>IFERROR(651.36+531.33*'Finisher Model - NE Metric'!Q27-216.9*('Finisher Model - NE Metric'!Q27*'Finisher Model - NE Metric'!Q27),"")</f>
        <v>975.82504332149961</v>
      </c>
      <c r="G11" s="9" t="str">
        <f>IFERROR(651.36+531.33*'Finisher Model - NE Metric'!Q28-216.9*('Finisher Model - NE Metric'!Q28*'Finisher Model - NE Metric'!Q28),"")</f>
        <v/>
      </c>
      <c r="H11" s="23"/>
      <c r="J11" s="17" t="s">
        <v>42</v>
      </c>
      <c r="K11" s="95">
        <f>IF('Finisher Model - NE Metric'!$E$11=2,L11,IF('Finisher Model - NE Metric'!$E$11=3,M11,IF('Finisher Model - NE Metric'!$E$11=4,N11,IF('Finisher Model - NE Metric'!$E$11=5,O11,IF('Finisher Model - NE Metric'!$E$11=6,P11,"")))))</f>
        <v>73.942045815312909</v>
      </c>
      <c r="L11" s="15">
        <f>SUM(B20:C20)</f>
        <v>31.973167077460488</v>
      </c>
      <c r="M11" s="15">
        <f>SUM(B20:D20)</f>
        <v>42.632087232712848</v>
      </c>
      <c r="N11" s="17">
        <f>SUM(B20:E20)</f>
        <v>57.688797793166316</v>
      </c>
      <c r="O11" s="17">
        <f>SUM(B20:F20)</f>
        <v>73.942045815312909</v>
      </c>
      <c r="P11" s="15">
        <f>SUM(B20:G20)</f>
        <v>73.942045815312909</v>
      </c>
    </row>
    <row r="12" spans="1:16" ht="16.5" thickBot="1">
      <c r="A12" t="s">
        <v>57</v>
      </c>
      <c r="B12" s="9">
        <f>IFERROR(338.34+108.98*'Finisher Model - NE Metric'!Q23-46.7864*('Finisher Model - NE Metric'!Q23*'Finisher Model - NE Metric'!Q23),"")</f>
        <v>401.63691802871244</v>
      </c>
      <c r="C12" s="9">
        <f>IFERROR(338.34+108.98*'Finisher Model - NE Metric'!Q24-46.7864*('Finisher Model - NE Metric'!Q24*'Finisher Model - NE Metric'!Q24),"")</f>
        <v>401.78805795708331</v>
      </c>
      <c r="D12" s="9">
        <f>IFERROR(338.34+108.98*'Finisher Model - NE Metric'!Q25-46.7864*('Finisher Model - NE Metric'!Q25*'Finisher Model - NE Metric'!Q25),"")</f>
        <v>401.8019376979658</v>
      </c>
      <c r="E12" s="9">
        <f>IFERROR(338.34+108.98*'Finisher Model - NE Metric'!Q26-46.7864*('Finisher Model - NE Metric'!Q26*'Finisher Model - NE Metric'!Q26),"")</f>
        <v>400.87567751839651</v>
      </c>
      <c r="F12" s="9">
        <f>IFERROR(338.34+108.98*'Finisher Model - NE Metric'!Q27-46.7864*('Finisher Model - NE Metric'!Q27*'Finisher Model - NE Metric'!Q27),"")</f>
        <v>401.80073911893442</v>
      </c>
      <c r="G12" s="9" t="str">
        <f>IFERROR(338.34+108.98*'Finisher Model - NE Metric'!Q28-46.7864*('Finisher Model - NE Metric'!Q28*'Finisher Model - NE Metric'!Q28),"")</f>
        <v/>
      </c>
      <c r="J12" s="1" t="s">
        <v>43</v>
      </c>
      <c r="K12" s="20">
        <f>IF('Finisher Model - NE Metric'!$E$11=2,L12,IF('Finisher Model - NE Metric'!$E$11=3,M12,IF('Finisher Model - NE Metric'!$E$11=4,N12,IF('Finisher Model - NE Metric'!$E$11=5,O12,IF('Finisher Model - NE Metric'!$E$11=6,P12,"")))))</f>
        <v>87.117840380837208</v>
      </c>
      <c r="L12" s="16">
        <f>SUM(B26:C26)</f>
        <v>38.36577405324136</v>
      </c>
      <c r="M12" s="16">
        <f>SUM(B26:D26)</f>
        <v>50.869087848732626</v>
      </c>
      <c r="N12" s="1">
        <f>SUM(B26:E26)</f>
        <v>68.405135085662536</v>
      </c>
      <c r="O12" s="16">
        <f>SUM(B26:F26)</f>
        <v>87.117840380837208</v>
      </c>
      <c r="P12" s="16" t="e">
        <f>SUM(B26:G26)</f>
        <v>#VALUE!</v>
      </c>
    </row>
    <row r="13" spans="1:16">
      <c r="A13" t="s">
        <v>58</v>
      </c>
      <c r="B13" s="6">
        <f t="shared" ref="B13:G13" si="2">(B11/B12)*1000</f>
        <v>2431.9317346634903</v>
      </c>
      <c r="C13" s="6">
        <f t="shared" si="2"/>
        <v>2427.7785339692291</v>
      </c>
      <c r="D13" s="6">
        <f t="shared" si="2"/>
        <v>2428.8844934814633</v>
      </c>
      <c r="E13" s="6">
        <f t="shared" si="2"/>
        <v>2414.7158337268061</v>
      </c>
      <c r="F13" s="6">
        <f t="shared" si="2"/>
        <v>2428.6292888890184</v>
      </c>
      <c r="G13" s="6" t="e">
        <f t="shared" si="2"/>
        <v>#VALUE!</v>
      </c>
      <c r="J13" t="s">
        <v>50</v>
      </c>
      <c r="K13" s="95">
        <f>IF('Finisher Model - NE Metric'!$E$11=2,L13,IF('Finisher Model - NE Metric'!$E$11=3,M13,IF('Finisher Model - NE Metric'!$E$11=4,N13,IF('Finisher Model - NE Metric'!$E$11=5,O13,IF('Finisher Model - NE Metric'!$E$11=6,P13,"")))))</f>
        <v>130</v>
      </c>
      <c r="L13" s="10">
        <f>SUM(B22:C22,'Finisher Model - NE Metric'!C15)*'Finisher Model - NE Metric'!E7</f>
        <v>75</v>
      </c>
      <c r="M13" s="10">
        <f>SUM(B22:D22,'Finisher Model - NE Metric'!C15)*'Finisher Model - NE Metric'!E7</f>
        <v>90</v>
      </c>
      <c r="N13" s="10">
        <f>SUM(B22:E22,'Finisher Model - NE Metric'!C15)*'Finisher Model - NE Metric'!E7</f>
        <v>110</v>
      </c>
      <c r="O13" s="10">
        <f>SUM(B22:F22,'Finisher Model - NE Metric'!C15)*'Finisher Model - NE Metric'!E7</f>
        <v>130</v>
      </c>
      <c r="P13" s="10" t="e">
        <f>SUM(B22:G22,'Finisher Model - NE Metric'!C15)*'Finisher Model - NE Metric'!E7</f>
        <v>#VALUE!</v>
      </c>
    </row>
    <row r="14" spans="1:16">
      <c r="A14" t="s">
        <v>60</v>
      </c>
      <c r="B14" s="7">
        <f>B13/B11</f>
        <v>2.4898109588832953</v>
      </c>
      <c r="C14" s="7">
        <f t="shared" ref="C14:F14" si="3">C13/C11</f>
        <v>2.4888743709421401</v>
      </c>
      <c r="D14" s="7">
        <f t="shared" si="3"/>
        <v>2.4887883959178394</v>
      </c>
      <c r="E14" s="7">
        <f t="shared" si="3"/>
        <v>2.4945389707613508</v>
      </c>
      <c r="F14" s="7">
        <f t="shared" si="3"/>
        <v>2.4887958200196256</v>
      </c>
      <c r="G14" s="7" t="e">
        <f>G13/G11</f>
        <v>#VALUE!</v>
      </c>
      <c r="J14" s="17" t="s">
        <v>44</v>
      </c>
      <c r="K14" s="95">
        <f>IF('Finisher Model - NE Metric'!$E$11=2,L14,IF('Finisher Model - NE Metric'!$E$11=3,M14,IF('Finisher Model - NE Metric'!$E$11=4,N14,IF('Finisher Model - NE Metric'!$E$11=5,O14,IF('Finisher Model - NE Metric'!$E$11=6,P14,"")))))</f>
        <v>56.057954184687091</v>
      </c>
      <c r="L14" s="14">
        <f>L13-L11</f>
        <v>43.026832922539512</v>
      </c>
      <c r="M14" s="14">
        <f>M13-M11</f>
        <v>47.367912767287152</v>
      </c>
      <c r="N14" s="14">
        <f>N13-N11</f>
        <v>52.311202206833684</v>
      </c>
      <c r="O14" s="14">
        <f>O13-O11</f>
        <v>56.057954184687091</v>
      </c>
      <c r="P14" s="14" t="e">
        <f>P13-P11</f>
        <v>#VALUE!</v>
      </c>
    </row>
    <row r="15" spans="1:16" ht="16.5" thickBot="1">
      <c r="A15" t="s">
        <v>73</v>
      </c>
      <c r="B15" s="43">
        <f>IF('Finisher Model - NE Metric'!E11=2,SUMPRODUCT(B14:C14,B16:C16)/SUM(B16:C16),IF('Finisher Model - NE Metric'!E11=3,SUMPRODUCT(B14:D14,B16:D16)/SUM(B16:D16),IF('Finisher Model - NE Metric'!E11=4,SUMPRODUCT(B14:E14,B16:E16)/SUM(B16:E16),IF('Finisher Model - NE Metric'!E11=5,SUMPRODUCT(B14:F14,B16:F16)/SUM(B16:F16),IF('Finisher Model - NE Metric'!E11=6,SUMPRODUCT(B14:G14,B16:G16)/SUM(B16:G16),"")))))</f>
        <v>2.4901493947550533</v>
      </c>
      <c r="C15" s="7"/>
      <c r="D15" s="7"/>
      <c r="E15" s="7"/>
      <c r="F15" s="7"/>
      <c r="G15" s="7"/>
      <c r="J15" s="1" t="s">
        <v>45</v>
      </c>
      <c r="K15" s="20">
        <f>IF('Finisher Model - NE Metric'!$E$11=2,L15,IF('Finisher Model - NE Metric'!$E$11=3,M15,IF('Finisher Model - NE Metric'!$E$11=4,N15,IF('Finisher Model - NE Metric'!$E$11=5,O15,IF('Finisher Model - NE Metric'!$E$11=6,P15,"")))))</f>
        <v>42.882159619162792</v>
      </c>
      <c r="L15" s="16">
        <f>L13-L12</f>
        <v>36.63422594675864</v>
      </c>
      <c r="M15" s="16">
        <f>M13-M12</f>
        <v>39.130912151267374</v>
      </c>
      <c r="N15" s="16">
        <f>N13-N12</f>
        <v>41.594864914337464</v>
      </c>
      <c r="O15" s="16">
        <f>O13-O12</f>
        <v>42.882159619162792</v>
      </c>
      <c r="P15" s="16" t="e">
        <f>P13-P12</f>
        <v>#VALUE!</v>
      </c>
    </row>
    <row r="16" spans="1:16">
      <c r="A16" s="96" t="s">
        <v>192</v>
      </c>
      <c r="B16" s="97">
        <f>(CONVERT(B7,"kg","g"))/B11</f>
        <v>27.64259166146001</v>
      </c>
      <c r="C16" s="97">
        <f t="shared" ref="C16:G16" si="4">(CONVERT(C7,"kg","g"))/C11</f>
        <v>25.629133136713918</v>
      </c>
      <c r="D16" s="97">
        <f t="shared" si="4"/>
        <v>15.369947001990894</v>
      </c>
      <c r="E16" s="97">
        <f t="shared" si="4"/>
        <v>20.661138970636955</v>
      </c>
      <c r="F16" s="97">
        <f t="shared" si="4"/>
        <v>20.49547727523397</v>
      </c>
      <c r="G16" s="97" t="e">
        <f t="shared" si="4"/>
        <v>#VALUE!</v>
      </c>
      <c r="H16" s="6">
        <f>IF('Finisher Model - NE Metric'!E11=2,SUM(B16:C16),IF('Finisher Model - NE Metric'!E11=3,SUM(B16:D16),IF('Finisher Model - NE Metric'!E11=4,SUM(B16:E16),IF('Finisher Model - NE Metric'!E11=5,SUM(B16:F16),IF('Finisher Model - NE Metric'!E11=6,SUM(B16:G16),"")))))</f>
        <v>109.79828804603575</v>
      </c>
      <c r="J16" s="106" t="s">
        <v>49</v>
      </c>
    </row>
    <row r="17" spans="1:16">
      <c r="A17" s="99" t="s">
        <v>199</v>
      </c>
      <c r="B17" s="103">
        <f>(B6-B5)/(B11/1000)</f>
        <v>27.64259166146001</v>
      </c>
      <c r="C17" s="103">
        <f>(IF('Finisher Model - NE Metric'!E11=2,'FW - Projected Performance - NE'!$B$34-'FW - Projected Performance - NE'!C5,'FW - Projected Performance - NE'!C6-'FW - Projected Performance - NE'!C5))/('FW - Projected Performance - NE'!C11/1000)</f>
        <v>25.629133136713918</v>
      </c>
      <c r="D17" s="103">
        <f>(IF('Finisher Model - NE Metric'!E11=3,'FW - Projected Performance - NE'!$B$34-'FW - Projected Performance - NE'!D5,'FW - Projected Performance - NE'!D6-'FW - Projected Performance - NE'!D5))/('FW - Projected Performance - NE'!D11/1000)</f>
        <v>15.369947001990896</v>
      </c>
      <c r="E17" s="103">
        <f>(IF('Finisher Model - NE Metric'!E11=4,'FW - Projected Performance - NE'!$B$34-'FW - Projected Performance - NE'!E5,'FW - Projected Performance - NE'!E6-'FW - Projected Performance - NE'!E5))/('FW - Projected Performance - NE'!E11/1000)</f>
        <v>20.661138970636955</v>
      </c>
      <c r="F17" s="103">
        <f>(IF('Finisher Model - NE Metric'!E11=5,'FW - Projected Performance - NE'!$B$34-'FW - Projected Performance - NE'!F5,'FW - Projected Performance - NE'!F6-'FW - Projected Performance - NE'!F5))/('FW - Projected Performance - NE'!F11/1000)</f>
        <v>19.738858102234573</v>
      </c>
      <c r="G17" s="103" t="e">
        <f>(IF('Finisher Model - NE Metric'!E11=6,'FW - Projected Performance - NE'!$B$34-'FW - Projected Performance - NE'!G5,'FW - Projected Performance - NE'!G6-'FW - Projected Performance - NE'!G5))/('FW - Projected Performance - NE'!G11/1000)</f>
        <v>#VALUE!</v>
      </c>
      <c r="H17" s="6">
        <f>IF('Finisher Model - NE Metric'!E11=2,SUM(B17:C17),IF('Finisher Model - NE Metric'!E11=3,SUM(B17:D17),IF('Finisher Model - NE Metric'!E11=4,SUM(B17:E17),IF('Finisher Model - NE Metric'!E11=5,SUM(B17:F17),IF('Finisher Model - NE Metric'!E11=6,SUM(B17:G17),"")))))</f>
        <v>109.04166887303636</v>
      </c>
      <c r="J17" t="s">
        <v>186</v>
      </c>
      <c r="K17" s="95">
        <f>IF('Finisher Model - NE Metric'!$E$11=2,L17,IF('Finisher Model - NE Metric'!$E$11=3,M17,IF('Finisher Model - NE Metric'!$E$11=4,N17,IF('Finisher Model - NE Metric'!$E$11=5,O17,IF('Finisher Model - NE Metric'!$E$11=6,P17,"")))))</f>
        <v>0.97450518834645417</v>
      </c>
      <c r="L17">
        <f>((SUM($B$23:$C$23)/SUM(B17:C17)))</f>
        <v>0.97612758357286156</v>
      </c>
      <c r="M17">
        <f>((SUM($B$23:$D$23)/SUM(B17:D17)))</f>
        <v>0.97608345255715512</v>
      </c>
      <c r="N17">
        <f>((SUM($B$23:$E$23)/SUM(B17:E17)))</f>
        <v>0.9742134569905978</v>
      </c>
      <c r="O17">
        <f>((SUM($B$23:$F$23)/SUM(B17:F17)))</f>
        <v>0.97450518834645417</v>
      </c>
      <c r="P17" t="e">
        <f>((SUM($B$23:$G$23)/SUM(B17:G17)))</f>
        <v>#VALUE!</v>
      </c>
    </row>
    <row r="18" spans="1:16">
      <c r="A18" s="96" t="s">
        <v>193</v>
      </c>
      <c r="B18" s="97">
        <f>CONVERT(D55,"lbm","kg")</f>
        <v>50.297785300637067</v>
      </c>
      <c r="C18" s="97">
        <f>CONVERT(D56,"lbm","kg")</f>
        <v>56.765135864050116</v>
      </c>
      <c r="D18" s="97">
        <f>CONVERT(D57,"lbm","kg")</f>
        <v>38.763594951138295</v>
      </c>
      <c r="E18" s="97">
        <f>CONVERT(D58,"lbm","kg")</f>
        <v>57.173392273010535</v>
      </c>
      <c r="F18" s="97">
        <f>CONVERT(D59,"lbm","kg")</f>
        <v>63.446076849954636</v>
      </c>
      <c r="G18" s="97">
        <f>CONVERT(D60,"lbm","kg")</f>
        <v>-300.27526271182791</v>
      </c>
      <c r="H18" s="11"/>
      <c r="J18" t="s">
        <v>40</v>
      </c>
      <c r="K18" s="95">
        <f>IF('Finisher Model - NE Metric'!$E$11=2,L18,IF('Finisher Model - NE Metric'!$E$11=3,M18,IF('Finisher Model - NE Metric'!$E$11=4,N18,IF('Finisher Model - NE Metric'!$E$11=5,O18,IF('Finisher Model - NE Metric'!$E$11=6,P18,"")))))</f>
        <v>2.5074514645459205</v>
      </c>
      <c r="L18">
        <f>SUM($B$19:$C$19)/SUM($B$23:$C$23)</f>
        <v>2.0589023300901381</v>
      </c>
      <c r="M18">
        <f>SUM($B$19:$D$19)/SUM($B$23:$D$23)</f>
        <v>2.1765151659078432</v>
      </c>
      <c r="N18">
        <f>SUM($B$19:$E$19)/SUM($B$23:$E$23)</f>
        <v>2.3333322803314487</v>
      </c>
      <c r="O18">
        <f>SUM($B$19:$F$19)/SUM($B$23:$F$23)</f>
        <v>2.5074514645459205</v>
      </c>
      <c r="P18" t="e">
        <f>SUM($B$19:$G$19)/SUM($B$23:$G$23)</f>
        <v>#VALUE!</v>
      </c>
    </row>
    <row r="19" spans="1:16">
      <c r="A19" s="99" t="s">
        <v>200</v>
      </c>
      <c r="B19" s="103">
        <f>CONVERT(I55,"lbm","kg")</f>
        <v>50.297785300637067</v>
      </c>
      <c r="C19" s="103">
        <f>CONVERT(I56,"lbm","kg")</f>
        <v>56.765135864050116</v>
      </c>
      <c r="D19" s="103">
        <f>CONVERT(I57,"lbm","kg")</f>
        <v>38.763594951138295</v>
      </c>
      <c r="E19" s="103">
        <f>CONVERT(I58,"lbm","kg")</f>
        <v>57.173392273010535</v>
      </c>
      <c r="F19" s="103">
        <f>CONVERT(I59,"lbm","kg")</f>
        <v>63.446076849954636</v>
      </c>
      <c r="G19" s="103">
        <f>CONVERT(I60,"lbm","kg")</f>
        <v>-300.27526271182791</v>
      </c>
      <c r="J19" t="s">
        <v>183</v>
      </c>
      <c r="K19" s="95">
        <f>IF('Finisher Model - NE Metric'!$E$11=2,L19,IF('Finisher Model - NE Metric'!$E$11=3,M19,IF('Finisher Model - NE Metric'!$E$11=4,N19,IF('Finisher Model - NE Metric'!$E$11=5,O19,IF('Finisher Model - NE Metric'!$E$11=6,P19,"")))))</f>
        <v>2.4435244617269145</v>
      </c>
      <c r="L19">
        <f>SUM(B19:C19)/SUM(B17:C17)</f>
        <v>2.0097513562834206</v>
      </c>
      <c r="M19">
        <f>SUM(B19:D19)/SUM(B17:D17)</f>
        <v>2.1244604376823366</v>
      </c>
      <c r="N19">
        <f>SUM(B19:E19)/SUM(B17:E17)</f>
        <v>2.2731637071294553</v>
      </c>
      <c r="O19">
        <f>SUM(B19:F19)/SUM(B17:F17)</f>
        <v>2.4435244617269145</v>
      </c>
      <c r="P19" t="e">
        <f>SUM(B19:G19)/SUM(B17:G17)</f>
        <v>#VALUE!</v>
      </c>
    </row>
    <row r="20" spans="1:16">
      <c r="A20" s="96" t="s">
        <v>194</v>
      </c>
      <c r="B20" s="97">
        <f t="shared" ref="B20:G20" si="5">(B18*(B9/907))</f>
        <v>15.511903532849175</v>
      </c>
      <c r="C20" s="97">
        <f t="shared" si="5"/>
        <v>16.461263544611313</v>
      </c>
      <c r="D20" s="97">
        <f t="shared" si="5"/>
        <v>10.65892015525236</v>
      </c>
      <c r="E20" s="97">
        <f t="shared" si="5"/>
        <v>15.056710560453471</v>
      </c>
      <c r="F20" s="97">
        <f t="shared" si="5"/>
        <v>16.25324802214659</v>
      </c>
      <c r="G20" s="97">
        <f t="shared" si="5"/>
        <v>0</v>
      </c>
      <c r="H20" s="11"/>
      <c r="I20" s="6"/>
      <c r="J20" s="17" t="s">
        <v>41</v>
      </c>
      <c r="K20" s="95">
        <f>IF('Finisher Model - NE Metric'!$E$11=2,L20,IF('Finisher Model - NE Metric'!$E$11=3,M20,IF('Finisher Model - NE Metric'!$E$11=4,N20,IF('Finisher Model - NE Metric'!$E$11=5,O20,IF('Finisher Model - NE Metric'!$E$11=6,P20,"")))))</f>
        <v>109.04166887303636</v>
      </c>
      <c r="L20" s="11">
        <f>SUM(B17:C17)</f>
        <v>53.271724798173928</v>
      </c>
      <c r="M20" s="11">
        <f>SUM(B17:D17)</f>
        <v>68.641671800164829</v>
      </c>
      <c r="N20" s="11">
        <f>SUM(B17:E17)</f>
        <v>89.302810770801784</v>
      </c>
      <c r="O20" s="11">
        <f>SUM(B17:F17)</f>
        <v>109.04166887303636</v>
      </c>
      <c r="P20" s="11" t="e">
        <f>SUM(B17:G17)</f>
        <v>#VALUE!</v>
      </c>
    </row>
    <row r="21" spans="1:16">
      <c r="A21" s="99" t="s">
        <v>201</v>
      </c>
      <c r="B21" s="103">
        <f>(B19*(B9/907))</f>
        <v>15.511903532849175</v>
      </c>
      <c r="C21" s="103">
        <f t="shared" ref="C21:G21" si="6">(C19*(C9/907))</f>
        <v>16.461263544611313</v>
      </c>
      <c r="D21" s="103">
        <f t="shared" si="6"/>
        <v>10.65892015525236</v>
      </c>
      <c r="E21" s="103">
        <f t="shared" si="6"/>
        <v>15.056710560453471</v>
      </c>
      <c r="F21" s="103">
        <f t="shared" si="6"/>
        <v>16.25324802214659</v>
      </c>
      <c r="G21" s="103">
        <f t="shared" si="6"/>
        <v>0</v>
      </c>
      <c r="J21" s="17" t="s">
        <v>184</v>
      </c>
      <c r="K21" s="95">
        <f>IF('Finisher Model - NE Metric'!$E$11=2,L21,IF('Finisher Model - NE Metric'!$E$11=3,M21,IF('Finisher Model - NE Metric'!$E$11=4,N21,IF('Finisher Model - NE Metric'!$E$11=5,O21,IF('Finisher Model - NE Metric'!$E$11=6,P21,"")))))</f>
        <v>266.44598523879063</v>
      </c>
      <c r="L21" s="11">
        <f>SUM(B19:C19)</f>
        <v>107.06292116468718</v>
      </c>
      <c r="M21" s="11">
        <f>SUM(B19:D19)</f>
        <v>145.82651611582548</v>
      </c>
      <c r="N21" s="11">
        <f>SUM(B19:E19)</f>
        <v>202.99990838883602</v>
      </c>
      <c r="O21" s="11">
        <f>SUM(B19:F19)</f>
        <v>266.44598523879063</v>
      </c>
      <c r="P21" s="11">
        <f>SUM(B19:G19)</f>
        <v>-33.82927747303728</v>
      </c>
    </row>
    <row r="22" spans="1:16">
      <c r="A22" s="96" t="s">
        <v>195</v>
      </c>
      <c r="B22" s="97">
        <f t="shared" ref="B22:G22" si="7">B11/1000*B16</f>
        <v>27</v>
      </c>
      <c r="C22" s="97">
        <f t="shared" si="7"/>
        <v>25</v>
      </c>
      <c r="D22" s="97">
        <f t="shared" si="7"/>
        <v>14.999999999999998</v>
      </c>
      <c r="E22" s="97">
        <f t="shared" si="7"/>
        <v>20</v>
      </c>
      <c r="F22" s="97">
        <f t="shared" si="7"/>
        <v>20</v>
      </c>
      <c r="G22" s="97" t="e">
        <f t="shared" si="7"/>
        <v>#VALUE!</v>
      </c>
      <c r="H22" s="6">
        <f>IF('Finisher Model - NE Metric'!E11=2,SUM(B22:C22)+'Finisher Model - NE Metric'!C15,IF('Finisher Model - NE Metric'!E11=3,SUM(B22:D22)+'Finisher Model - NE Metric'!C15,IF('Finisher Model - NE Metric'!E11=4,SUM(B22:E22)+'Finisher Model - NE Metric'!C15,IF('Finisher Model - NE Metric'!E11=5,SUM(B22:F22)+'Finisher Model - NE Metric'!C15,IF('Finisher Model - NE Metric'!E11=6, SUM(B22:G22)+'Finisher Model - NE Metric'!C15,"")))))</f>
        <v>130</v>
      </c>
      <c r="I22" s="28"/>
      <c r="J22" s="17" t="s">
        <v>42</v>
      </c>
      <c r="K22" s="95">
        <f>IF('Finisher Model - NE Metric'!$E$11=2,L22,IF('Finisher Model - NE Metric'!$E$11=3,M22,IF('Finisher Model - NE Metric'!$E$11=4,N22,IF('Finisher Model - NE Metric'!$E$11=5,O22,IF('Finisher Model - NE Metric'!$E$11=6,P22,"")))))</f>
        <v>73.942045815312909</v>
      </c>
      <c r="L22" s="15">
        <f>SUM(B21:C21)</f>
        <v>31.973167077460488</v>
      </c>
      <c r="M22" s="15">
        <f>SUM(B21:D21)</f>
        <v>42.632087232712848</v>
      </c>
      <c r="N22" s="15">
        <f>SUM(B21:E21)</f>
        <v>57.688797793166316</v>
      </c>
      <c r="O22" s="15">
        <f>SUM(B21:F21)</f>
        <v>73.942045815312909</v>
      </c>
      <c r="P22" s="15">
        <f>SUM(B21:G21)</f>
        <v>73.942045815312909</v>
      </c>
    </row>
    <row r="23" spans="1:16" ht="16.5" thickBot="1">
      <c r="A23" s="99" t="s">
        <v>202</v>
      </c>
      <c r="B23" s="103">
        <f>B11/1000*B17</f>
        <v>27</v>
      </c>
      <c r="C23" s="103">
        <f t="shared" ref="C23:G23" si="8">C11/1000*C17</f>
        <v>25</v>
      </c>
      <c r="D23" s="103">
        <f t="shared" si="8"/>
        <v>15</v>
      </c>
      <c r="E23" s="103">
        <f t="shared" si="8"/>
        <v>20</v>
      </c>
      <c r="F23" s="103">
        <f>F11/1000*F17</f>
        <v>19.261672062729986</v>
      </c>
      <c r="G23" s="103" t="e">
        <f t="shared" si="8"/>
        <v>#VALUE!</v>
      </c>
      <c r="H23" s="6">
        <f>IF('Finisher Model - NE Metric'!E11=2,SUM(B23:C23)+'Finisher Model - NE Metric'!C15,IF('Finisher Model - NE Metric'!E11=3,SUM(B23:D23)+'Finisher Model - NE Metric'!C15,IF('Finisher Model - NE Metric'!E11=4,SUM(B23:E23)+'Finisher Model - NE Metric'!C15,IF('Finisher Model - NE Metric'!E11=5,SUM(B23:F23)+'Finisher Model - NE Metric'!C15,IF('Finisher Model - NE Metric'!E11=6, SUM(B23:G23)+'Finisher Model - NE Metric'!C15,"")))))</f>
        <v>129.26167206272999</v>
      </c>
      <c r="J23" s="1" t="s">
        <v>43</v>
      </c>
      <c r="K23" s="20">
        <f>IF('Finisher Model - NE Metric'!$E$11=2,L23,IF('Finisher Model - NE Metric'!$E$11=3,M23,IF('Finisher Model - NE Metric'!$E$11=4,N23,IF('Finisher Model - NE Metric'!$E$11=5,O23,IF('Finisher Model - NE Metric'!$E$11=6,P23,"")))))</f>
        <v>87.02704608007727</v>
      </c>
      <c r="L23" s="16">
        <f>SUM(B27:C27)</f>
        <v>38.36577405324136</v>
      </c>
      <c r="M23" s="16">
        <f>SUM(B27:D27)</f>
        <v>50.869087848732626</v>
      </c>
      <c r="N23" s="16">
        <f>SUM(B27:E27)</f>
        <v>68.405135085662536</v>
      </c>
      <c r="O23" s="16">
        <f>SUM(B27:F27)</f>
        <v>87.02704608007727</v>
      </c>
      <c r="P23" s="16" t="e">
        <f>SUM(B27:G27)</f>
        <v>#VALUE!</v>
      </c>
    </row>
    <row r="24" spans="1:16">
      <c r="A24" s="96" t="s">
        <v>196</v>
      </c>
      <c r="B24" s="98">
        <f t="shared" ref="B24:G24" si="9">B20/((B11/1000)*B16)</f>
        <v>0.57451494566108052</v>
      </c>
      <c r="C24" s="98">
        <f t="shared" si="9"/>
        <v>0.6584505417844525</v>
      </c>
      <c r="D24" s="98">
        <f t="shared" si="9"/>
        <v>0.71059467701682411</v>
      </c>
      <c r="E24" s="98">
        <f t="shared" si="9"/>
        <v>0.75283552802267351</v>
      </c>
      <c r="F24" s="98">
        <f t="shared" si="9"/>
        <v>0.81266240110732946</v>
      </c>
      <c r="G24" s="98" t="e">
        <f t="shared" si="9"/>
        <v>#VALUE!</v>
      </c>
      <c r="J24" t="s">
        <v>51</v>
      </c>
      <c r="K24" s="243">
        <f>IF('Finisher Model - NE Metric'!$E$11=2,L24,IF('Finisher Model - NE Metric'!$E$11=3,M24,IF('Finisher Model - NE Metric'!$E$11=4,N24,IF('Finisher Model - NE Metric'!$E$11=5,O24,IF('Finisher Model - NE Metric'!$E$11=6,P24,"")))))</f>
        <v>143.13234610127319</v>
      </c>
      <c r="L24" s="15">
        <f>C35*'Finisher Model - NE Metric'!$E$8</f>
        <v>143.13234610127319</v>
      </c>
      <c r="M24" s="15">
        <f>D35*'Finisher Model - NE Metric'!$E$8</f>
        <v>143.13234610127319</v>
      </c>
      <c r="N24" s="15">
        <f>E35*'Finisher Model - NE Metric'!$E$8</f>
        <v>143.13234610127319</v>
      </c>
      <c r="O24" s="15">
        <f>F35*'Finisher Model - NE Metric'!$E$8</f>
        <v>143.13234610127319</v>
      </c>
      <c r="P24" s="15">
        <f>G35*'Finisher Model - NE Metric'!$E$8</f>
        <v>143.13234610127319</v>
      </c>
    </row>
    <row r="25" spans="1:16">
      <c r="A25" s="99" t="s">
        <v>203</v>
      </c>
      <c r="B25" s="104">
        <f>B21/((B11/1000)*B17)</f>
        <v>0.57451494566108052</v>
      </c>
      <c r="C25" s="104">
        <f t="shared" ref="C25:G25" si="10">C21/((C11/1000)*C17)</f>
        <v>0.6584505417844525</v>
      </c>
      <c r="D25" s="104">
        <f t="shared" si="10"/>
        <v>0.71059467701682399</v>
      </c>
      <c r="E25" s="104">
        <f t="shared" si="10"/>
        <v>0.75283552802267351</v>
      </c>
      <c r="F25" s="104">
        <f t="shared" si="10"/>
        <v>0.84381293426729598</v>
      </c>
      <c r="G25" s="104" t="e">
        <f t="shared" si="10"/>
        <v>#VALUE!</v>
      </c>
      <c r="J25" s="17" t="s">
        <v>52</v>
      </c>
      <c r="K25" s="95">
        <f>IF('Finisher Model - NE Metric'!$E$11=2,L25,IF('Finisher Model - NE Metric'!$E$11=3,M25,IF('Finisher Model - NE Metric'!$E$11=4,N25,IF('Finisher Model - NE Metric'!$E$11=5,O25,IF('Finisher Model - NE Metric'!$E$11=6,P25,"")))))</f>
        <v>69.190300285960276</v>
      </c>
      <c r="L25" s="15">
        <f>L24-L22</f>
        <v>111.1591790238127</v>
      </c>
      <c r="M25" s="15">
        <f t="shared" ref="M25:N25" si="11">M24-M22</f>
        <v>100.50025886856034</v>
      </c>
      <c r="N25" s="15">
        <f t="shared" si="11"/>
        <v>85.44354830810687</v>
      </c>
      <c r="O25" s="15">
        <f>O24-O22</f>
        <v>69.190300285960276</v>
      </c>
      <c r="P25" s="15">
        <f>P24-P22</f>
        <v>69.190300285960276</v>
      </c>
    </row>
    <row r="26" spans="1:16" ht="16.5" thickBot="1">
      <c r="A26" s="96" t="s">
        <v>197</v>
      </c>
      <c r="B26" s="98">
        <f>B20+(B16*'Finisher Model - NE Metric'!$E$10)</f>
        <v>18.829014532224377</v>
      </c>
      <c r="C26" s="98">
        <f>C20+(C16*'Finisher Model - NE Metric'!$E$10)</f>
        <v>19.536759521016982</v>
      </c>
      <c r="D26" s="98">
        <f>D20+(D16*'Finisher Model - NE Metric'!$E$10)</f>
        <v>12.503313795491268</v>
      </c>
      <c r="E26" s="98">
        <f>E20+(E16*'Finisher Model - NE Metric'!$E$10)</f>
        <v>17.536047236929907</v>
      </c>
      <c r="F26" s="98">
        <f>F20+(F16*'Finisher Model - NE Metric'!$E$10)</f>
        <v>18.712705295174665</v>
      </c>
      <c r="G26" s="98" t="e">
        <f>G20+(G16*'Finisher Model - NE Metric'!$E$10)</f>
        <v>#VALUE!</v>
      </c>
      <c r="H26" s="45"/>
      <c r="J26" s="1" t="s">
        <v>54</v>
      </c>
      <c r="K26" s="20">
        <f>IF('Finisher Model - NE Metric'!$E$11=2,L26,IF('Finisher Model - NE Metric'!$E$11=3,M26,IF('Finisher Model - NE Metric'!$E$11=4,N26,IF('Finisher Model - NE Metric'!$E$11=5,O26,IF('Finisher Model - NE Metric'!$E$11=6,P26,"")))))</f>
        <v>56.105300021195916</v>
      </c>
      <c r="L26" s="16">
        <f>L24-L23</f>
        <v>104.76657204803183</v>
      </c>
      <c r="M26" s="16">
        <f t="shared" ref="M26:O26" si="12">M24-M23</f>
        <v>92.263258252540567</v>
      </c>
      <c r="N26" s="16">
        <f t="shared" si="12"/>
        <v>74.727211015610649</v>
      </c>
      <c r="O26" s="16">
        <f t="shared" si="12"/>
        <v>56.105300021195916</v>
      </c>
      <c r="P26" s="16" t="e">
        <f>P24-P23</f>
        <v>#VALUE!</v>
      </c>
    </row>
    <row r="27" spans="1:16">
      <c r="A27" s="99" t="s">
        <v>204</v>
      </c>
      <c r="B27" s="104">
        <f>B21+(B17*'Finisher Model - NE Metric'!$E$10)</f>
        <v>18.829014532224377</v>
      </c>
      <c r="C27" s="104">
        <f>C21+(C17*'Finisher Model - NE Metric'!$E$10)</f>
        <v>19.536759521016982</v>
      </c>
      <c r="D27" s="104">
        <f>D21+(D17*'Finisher Model - NE Metric'!$E$10)</f>
        <v>12.503313795491268</v>
      </c>
      <c r="E27" s="104">
        <f>E21+(E17*'Finisher Model - NE Metric'!$E$10)</f>
        <v>17.536047236929907</v>
      </c>
      <c r="F27" s="104">
        <f>F21+(F17*'Finisher Model - NE Metric'!$E$10)</f>
        <v>18.621910994414737</v>
      </c>
      <c r="G27" s="104" t="e">
        <f>G21+(G17*'Finisher Model - NE Metric'!$E$10)</f>
        <v>#VALUE!</v>
      </c>
    </row>
    <row r="28" spans="1:16">
      <c r="A28" s="96" t="s">
        <v>198</v>
      </c>
      <c r="B28" s="98">
        <f>B22*'Finisher Model - NE Metric'!$E$7</f>
        <v>27</v>
      </c>
      <c r="C28" s="98">
        <f>C22*'Finisher Model - NE Metric'!$E$7</f>
        <v>25</v>
      </c>
      <c r="D28" s="98">
        <f>D22*'Finisher Model - NE Metric'!$E$7</f>
        <v>14.999999999999998</v>
      </c>
      <c r="E28" s="98">
        <f>E22*'Finisher Model - NE Metric'!$E$7</f>
        <v>20</v>
      </c>
      <c r="F28" s="98">
        <f>F22*'Finisher Model - NE Metric'!$E$7</f>
        <v>20</v>
      </c>
      <c r="G28" s="98" t="e">
        <f>G22*'Finisher Model - NE Metric'!$E$7</f>
        <v>#VALUE!</v>
      </c>
    </row>
    <row r="29" spans="1:16">
      <c r="A29" t="s">
        <v>37</v>
      </c>
      <c r="B29" s="7">
        <f t="shared" ref="B29:G29" si="13">B28-B20</f>
        <v>11.488096467150825</v>
      </c>
      <c r="C29" s="7">
        <f t="shared" si="13"/>
        <v>8.5387364553886869</v>
      </c>
      <c r="D29" s="7">
        <f t="shared" si="13"/>
        <v>4.3410798447476378</v>
      </c>
      <c r="E29" s="7">
        <f t="shared" si="13"/>
        <v>4.943289439546529</v>
      </c>
      <c r="F29" s="7">
        <f t="shared" si="13"/>
        <v>3.7467519778534104</v>
      </c>
      <c r="G29" s="7" t="e">
        <f t="shared" si="13"/>
        <v>#VALUE!</v>
      </c>
      <c r="H29" s="10"/>
      <c r="I29" s="237"/>
    </row>
    <row r="30" spans="1:16">
      <c r="A30" t="s">
        <v>38</v>
      </c>
      <c r="B30" s="7">
        <f t="shared" ref="B30:G30" si="14">B28-B26</f>
        <v>8.1709854677756226</v>
      </c>
      <c r="C30" s="7">
        <f t="shared" si="14"/>
        <v>5.4632404789830176</v>
      </c>
      <c r="D30" s="7">
        <f t="shared" si="14"/>
        <v>2.4966862045087304</v>
      </c>
      <c r="E30" s="7">
        <f t="shared" si="14"/>
        <v>2.4639527630700933</v>
      </c>
      <c r="F30" s="7">
        <f t="shared" si="14"/>
        <v>1.2872947048253351</v>
      </c>
      <c r="G30" s="7" t="e">
        <f t="shared" si="14"/>
        <v>#VALUE!</v>
      </c>
    </row>
    <row r="31" spans="1:16">
      <c r="A31" t="s">
        <v>75</v>
      </c>
      <c r="B31" s="7">
        <f>'Finisher Model - NE Metric'!S23</f>
        <v>1.5912796393940527</v>
      </c>
      <c r="C31" s="7">
        <f>'Finisher Model - NE Metric'!S24</f>
        <v>1.4915826400203729</v>
      </c>
      <c r="D31" s="7">
        <f>'Finisher Model - NE Metric'!S25</f>
        <v>1.5121875561799571</v>
      </c>
      <c r="E31" s="7">
        <f>'Finisher Model - NE Metric'!S26</f>
        <v>1.331126298844884</v>
      </c>
      <c r="F31" s="7">
        <f>'Finisher Model - NE Metric'!S27</f>
        <v>1.5072124247355645</v>
      </c>
      <c r="G31" s="7" t="str">
        <f>'Finisher Model - NE Metric'!S28</f>
        <v/>
      </c>
    </row>
    <row r="32" spans="1:16">
      <c r="A32" t="s">
        <v>76</v>
      </c>
      <c r="B32" s="7">
        <f>SUMPRODUCT(B31,B18)/SUM(B18)</f>
        <v>1.5912796393940527</v>
      </c>
      <c r="C32" s="7">
        <f>SUMPRODUCT(B31:C31,B18:C18)/SUM(B18:C18)</f>
        <v>1.5384199410678716</v>
      </c>
      <c r="D32" s="7">
        <f>SUMPRODUCT(B31:D31,B18:D18)/SUM(B18:D18)</f>
        <v>1.5314468502371903</v>
      </c>
      <c r="E32" s="7">
        <f>SUMPRODUCT(B31:E31,B18:E18)/SUM(B18:E18)</f>
        <v>1.475028078642671</v>
      </c>
      <c r="F32" s="7">
        <f>SUMPRODUCT(B31:F31,B18:F18)/SUM(B18:F18)</f>
        <v>1.4826918101631337</v>
      </c>
      <c r="G32" s="7">
        <f>SUMPRODUCT(B31:G31,B18:G18)/SUM(B18:G18)</f>
        <v>-11.677969784582952</v>
      </c>
    </row>
    <row r="33" spans="1:10">
      <c r="A33" s="100" t="s">
        <v>190</v>
      </c>
      <c r="B33" s="101">
        <f>'Current Performance - NE '!B28</f>
        <v>95.421564067515476</v>
      </c>
    </row>
    <row r="34" spans="1:10">
      <c r="A34" s="100" t="s">
        <v>191</v>
      </c>
      <c r="B34" s="102">
        <f>B33/(IF('Finisher Model - NE Metric'!E9&lt;76,'FW - Projected Performance - NE'!B43,'FW - Projected Performance - NE'!B44)/100)</f>
        <v>129.26167206272999</v>
      </c>
    </row>
    <row r="35" spans="1:10">
      <c r="A35" t="s">
        <v>160</v>
      </c>
      <c r="B35" s="241">
        <f>$H$23*IF('Finisher Model - NE Metric'!$E$9&lt;76,'FW - Projected Performance - NE'!$B$43,'FW - Projected Performance - NE'!$B$44)/100</f>
        <v>95.421564067515462</v>
      </c>
      <c r="C35" s="241">
        <f>$H$23*IF('Finisher Model - NE Metric'!$E$9&lt;76,'FW - Projected Performance - NE'!$B$43,'FW - Projected Performance - NE'!$B$44)/100</f>
        <v>95.421564067515462</v>
      </c>
      <c r="D35" s="241">
        <f>$H$23*IF('Finisher Model - NE Metric'!$E$9&lt;76,'FW - Projected Performance - NE'!$B$43,'FW - Projected Performance - NE'!$B$44)/100</f>
        <v>95.421564067515462</v>
      </c>
      <c r="E35" s="241">
        <f>$H$23*IF('Finisher Model - NE Metric'!$E$9&lt;76,'FW - Projected Performance - NE'!$B$43,'FW - Projected Performance - NE'!$B$44)/100</f>
        <v>95.421564067515462</v>
      </c>
      <c r="F35" s="241">
        <f>$H$23*IF('Finisher Model - NE Metric'!$E$9&lt;76,'FW - Projected Performance - NE'!$B$43,'FW - Projected Performance - NE'!$B$44)/100</f>
        <v>95.421564067515462</v>
      </c>
      <c r="G35" s="241">
        <f>$H$23*IF('Finisher Model - NE Metric'!$E$9&lt;76,'FW - Projected Performance - NE'!$B$43,'FW - Projected Performance - NE'!$B$44)/100</f>
        <v>95.421564067515462</v>
      </c>
    </row>
    <row r="36" spans="1:10">
      <c r="A36" t="s">
        <v>159</v>
      </c>
      <c r="B36" s="74">
        <f>(VLOOKUP($H$22,$C$65:$I$104,7,TRUE))*100</f>
        <v>74.922166093909382</v>
      </c>
      <c r="C36" s="74">
        <f t="shared" ref="C36:G36" si="15">(VLOOKUP($H$22,$C$65:$I$104,7,TRUE))*100</f>
        <v>74.922166093909382</v>
      </c>
      <c r="D36" s="74">
        <f t="shared" si="15"/>
        <v>74.922166093909382</v>
      </c>
      <c r="E36" s="74">
        <f t="shared" si="15"/>
        <v>74.922166093909382</v>
      </c>
      <c r="F36" s="74">
        <f t="shared" si="15"/>
        <v>74.922166093909382</v>
      </c>
      <c r="G36" s="74">
        <f t="shared" si="15"/>
        <v>74.922166093909382</v>
      </c>
    </row>
    <row r="37" spans="1:10">
      <c r="A37" t="s">
        <v>90</v>
      </c>
      <c r="B37" s="3">
        <f>'Finisher Model - NE Metric'!E9</f>
        <v>74</v>
      </c>
      <c r="C37" s="3"/>
      <c r="D37" s="3"/>
      <c r="E37" s="3"/>
      <c r="F37" s="3"/>
      <c r="G37" s="3"/>
    </row>
    <row r="38" spans="1:10">
      <c r="A38" t="s">
        <v>91</v>
      </c>
      <c r="B38" s="53">
        <f>B37/B36</f>
        <v>0.98769167868486996</v>
      </c>
      <c r="C38" s="9"/>
      <c r="D38" s="9"/>
      <c r="E38" s="9"/>
      <c r="F38" s="9"/>
      <c r="G38" s="9"/>
      <c r="J38" t="s">
        <v>149</v>
      </c>
    </row>
    <row r="39" spans="1:10">
      <c r="A39" t="s">
        <v>163</v>
      </c>
      <c r="B39" s="93">
        <f>'Finisher Model - NE Metric'!Q23</f>
        <v>1.224061261072348</v>
      </c>
      <c r="C39" s="93">
        <f>'Finisher Model - NE Metric'!Q24</f>
        <v>1.1473712615541329</v>
      </c>
      <c r="D39" s="93">
        <f>'Finisher Model - NE Metric'!Q25</f>
        <v>1.1632211970615054</v>
      </c>
      <c r="E39" s="93">
        <f>'Finisher Model - NE Metric'!Q26</f>
        <v>1.0239433068037569</v>
      </c>
      <c r="F39" s="53">
        <f>'Finisher Model - NE Metric'!Q27</f>
        <v>1.1593941728735111</v>
      </c>
      <c r="G39" s="53" t="str">
        <f>'Finisher Model - NE Metric'!Q28</f>
        <v/>
      </c>
      <c r="H39">
        <f>IF('Finisher Model - NE Metric'!E11=2,SUMPRODUCT(B39:C39,B16:C16)/SUM(B16:C16),IF('Finisher Model - NE Metric'!E11=3,SUMPRODUCT(B39:D39,B16:D16)/SUM(B16:D16),IF('Finisher Model - NE Metric'!E11=4,SUMPRODUCT(B39:E39,B16:E16)/SUM(B16:E16),IF('Finisher Model - NE Metric'!E11=5,SUMPRODUCT(B39:F39,B16:F16)/SUM(B16:F16),IF('Finisher Model - NE Metric'!E11=6,SUMPRODUCT(B39:G39,B16:G16)/SUM(B16:G16),"")))))</f>
        <v>1.1479156797847456</v>
      </c>
      <c r="J39" t="s">
        <v>150</v>
      </c>
    </row>
    <row r="40" spans="1:10">
      <c r="A40" t="s">
        <v>162</v>
      </c>
      <c r="B40" s="91">
        <f>73.859-1.19192*H39</f>
        <v>72.490776342950966</v>
      </c>
      <c r="C40" s="9"/>
      <c r="D40" s="9"/>
      <c r="E40" s="9"/>
      <c r="F40" s="9"/>
      <c r="G40" s="9"/>
    </row>
    <row r="41" spans="1:10">
      <c r="A41" t="s">
        <v>154</v>
      </c>
      <c r="B41" s="91">
        <f>73.859-1.19192*1</f>
        <v>72.667079999999999</v>
      </c>
      <c r="C41" s="9"/>
      <c r="D41" s="9"/>
      <c r="E41" s="9"/>
      <c r="F41" s="9"/>
      <c r="G41" s="9"/>
    </row>
    <row r="42" spans="1:10">
      <c r="A42" t="s">
        <v>156</v>
      </c>
      <c r="B42" s="53">
        <f>B40/B41</f>
        <v>0.99757381668495515</v>
      </c>
      <c r="C42" s="9"/>
      <c r="D42" s="9"/>
      <c r="E42" s="9"/>
      <c r="F42" s="9"/>
      <c r="G42" s="9"/>
    </row>
    <row r="43" spans="1:10">
      <c r="A43" t="s">
        <v>157</v>
      </c>
      <c r="B43" s="53">
        <f>(VLOOKUP($H$22,$C$65:$K$104,9,TRUE))</f>
        <v>73.820462434686675</v>
      </c>
      <c r="C43" s="9"/>
      <c r="D43" s="9"/>
      <c r="E43" s="9"/>
      <c r="F43" s="9"/>
      <c r="G43" s="9"/>
    </row>
    <row r="44" spans="1:10">
      <c r="A44" t="s">
        <v>231</v>
      </c>
      <c r="B44" s="53">
        <f>'Current Performance - NE '!B36</f>
        <v>73.401203128858057</v>
      </c>
    </row>
    <row r="48" spans="1:10" ht="16.5" thickBot="1"/>
    <row r="49" spans="1:11" ht="16.5" thickBot="1">
      <c r="B49" s="297" t="s">
        <v>205</v>
      </c>
      <c r="C49" s="298"/>
      <c r="D49" s="298"/>
      <c r="E49" s="299"/>
      <c r="G49" s="297" t="s">
        <v>206</v>
      </c>
      <c r="H49" s="298"/>
      <c r="I49" s="298"/>
      <c r="J49" s="299"/>
    </row>
    <row r="50" spans="1:11" ht="16.5" thickBot="1">
      <c r="B50" s="287" t="s">
        <v>62</v>
      </c>
      <c r="C50" s="288"/>
      <c r="D50" s="288"/>
      <c r="E50" s="289"/>
      <c r="G50" s="287" t="s">
        <v>62</v>
      </c>
      <c r="H50" s="288"/>
      <c r="I50" s="288"/>
      <c r="J50" s="289"/>
    </row>
    <row r="51" spans="1:11" ht="16.5" thickBot="1">
      <c r="B51" s="38" t="s">
        <v>63</v>
      </c>
      <c r="C51" s="31" t="s">
        <v>64</v>
      </c>
      <c r="D51" s="38" t="s">
        <v>65</v>
      </c>
      <c r="E51" s="40"/>
      <c r="G51" s="38" t="s">
        <v>63</v>
      </c>
      <c r="H51" s="31" t="s">
        <v>64</v>
      </c>
      <c r="I51" s="38" t="s">
        <v>65</v>
      </c>
      <c r="J51" s="40"/>
    </row>
    <row r="52" spans="1:11" ht="16.5" thickBot="1">
      <c r="B52" s="39">
        <f>CONVERT('Finisher Model - NE Metric'!C15,"kg","lbm")</f>
        <v>50.706320302521839</v>
      </c>
      <c r="C52" s="39">
        <f>CONVERT(IF('Finisher Model - NE Metric'!$E$11=2,'Finisher Model - NE Metric'!D16,IF('Finisher Model - NE Metric'!$E$11=3,'Finisher Model - NE Metric'!D17,IF('Finisher Model - NE Metric'!$E$11=4,'Finisher Model - NE Metric'!D18,IF('Finisher Model - NE Metric'!$E$11=5,'Finisher Model - NE Metric'!D19,IF('Finisher Model - NE Metric'!$E$11=6,'Finisher Model - NE Metric'!D20,""))))),"kg","lbm")</f>
        <v>286.6009408403408</v>
      </c>
      <c r="D52" s="38">
        <f>B15</f>
        <v>2.4901493947550533</v>
      </c>
      <c r="E52" s="40"/>
      <c r="G52" s="39">
        <f>CONVERT('Finisher Model - NE Metric'!C15,"kg","lbm")</f>
        <v>50.706320302521839</v>
      </c>
      <c r="H52" s="39">
        <f>CONVERT(IF('Finisher Model - NE Metric'!$E$11=2,'Finisher Model - NE Metric'!D16,IF('Finisher Model - NE Metric'!$E$11=3,'Finisher Model - NE Metric'!D17,IF('Finisher Model - NE Metric'!$E$11=4,'Finisher Model - NE Metric'!D18,IF('Finisher Model - NE Metric'!$E$11=5,'Finisher Model - NE Metric'!D19,IF('Finisher Model - NE Metric'!$E$11=6,'Finisher Model - NE Metric'!D20,""))))),"kg","lbm")</f>
        <v>286.6009408403408</v>
      </c>
      <c r="I52" s="44">
        <f>B15</f>
        <v>2.4901493947550533</v>
      </c>
      <c r="J52" s="40"/>
    </row>
    <row r="53" spans="1:11">
      <c r="B53" s="34"/>
      <c r="C53" s="31"/>
      <c r="D53" s="31"/>
      <c r="E53" s="40"/>
      <c r="G53" s="34"/>
      <c r="H53" s="31"/>
      <c r="I53" s="31"/>
      <c r="J53" s="40"/>
    </row>
    <row r="54" spans="1:11">
      <c r="B54" s="34" t="s">
        <v>63</v>
      </c>
      <c r="C54" s="31" t="s">
        <v>64</v>
      </c>
      <c r="D54" s="41" t="s">
        <v>66</v>
      </c>
      <c r="E54" s="35">
        <f>IF(B55=0,F54,((0.00463*B55^2 + 1.68*B55 - 22.05)/(((0.00463*C52^2 + 1.68*C52 - 22.05)-(0.00463*B52^2 + 1.68*B52 - 22.05))/(C52-B52))*D52))</f>
        <v>57.642997986792096</v>
      </c>
      <c r="G54" s="34" t="s">
        <v>63</v>
      </c>
      <c r="H54" s="31" t="s">
        <v>64</v>
      </c>
      <c r="I54" s="41" t="s">
        <v>66</v>
      </c>
      <c r="J54" s="35">
        <f>IF(G55=0,K54,((0.00463*G55^2 + 1.68*G55 - 22.05)/(((0.00463*H52^2 + 1.68*H52 - 22.05)-(0.00463*G52^2 + 1.68*G52 - 22.05))/(H52-G52))*I52))</f>
        <v>57.642997986792096</v>
      </c>
    </row>
    <row r="55" spans="1:11">
      <c r="A55">
        <v>1</v>
      </c>
      <c r="B55" s="30">
        <f>CONVERT('Finisher Model - NE Metric'!C15,"kg","lbm")</f>
        <v>50.706320302521839</v>
      </c>
      <c r="C55" s="36">
        <f>CONVERT('Finisher Model - NE Metric'!D15,"kg","lbm")</f>
        <v>110.23113109243879</v>
      </c>
      <c r="D55" s="42">
        <f>IF(C55="","",(E55-E54))</f>
        <v>110.8876353026773</v>
      </c>
      <c r="E55" s="35">
        <f t="shared" ref="E55:E60" si="16">IF(B56="","",((0.00463*B56^2 + 1.68*B56 - 22.05)/(((0.00463*$C$52^2 + 1.68*$C$52 - 22.05)-(0.00463*$B$52^2 + 1.68*$B$52 - 22.05))/($C$52-$B$52))*$D$52))</f>
        <v>168.53063328946939</v>
      </c>
      <c r="G55" s="30">
        <f>CONVERT('Finisher Model - NE Metric'!C15,"kg","lbm")</f>
        <v>50.706320302521839</v>
      </c>
      <c r="H55" s="36">
        <f>CONVERT('Finisher Model - NE Metric'!D15,"kg","lbm")</f>
        <v>110.23113109243879</v>
      </c>
      <c r="I55" s="42">
        <f>IF(H55="","",(J55-J54))</f>
        <v>110.8876353026773</v>
      </c>
      <c r="J55" s="35">
        <f t="shared" ref="J55:J60" si="17">IF(G56="","",((0.00463*G56^2 + 1.68*G56 - 22.05)/(((0.00463*$C$52^2 + 1.68*$C$52 - 22.05)-(0.00463*$B$52^2 + 1.68*$B$52 - 22.05))/($C$52-$B$52))*$D$52))</f>
        <v>168.53063328946939</v>
      </c>
    </row>
    <row r="56" spans="1:11">
      <c r="A56">
        <v>2</v>
      </c>
      <c r="B56" s="30">
        <f t="shared" ref="B56:B61" si="18">C55</f>
        <v>110.23113109243879</v>
      </c>
      <c r="C56" s="36">
        <f>CONVERT('Finisher Model - NE Metric'!D16,"kg","lbm")</f>
        <v>165.34669663865816</v>
      </c>
      <c r="D56" s="42">
        <f t="shared" ref="D56:D59" si="19">IF(C56="","",(E56-E55))</f>
        <v>125.14570265820413</v>
      </c>
      <c r="E56" s="35">
        <f t="shared" si="16"/>
        <v>293.67633594767352</v>
      </c>
      <c r="G56" s="30">
        <f t="shared" ref="G56:G61" si="20">H55</f>
        <v>110.23113109243879</v>
      </c>
      <c r="H56" s="36">
        <f>CONVERT(IF(AND('Finisher Model - NE Metric'!E11=2,'Finisher Model - NE Metric'!E6="Carcass"),'FW - Projected Performance - NE'!$B$34,'Finisher Model - NE Metric'!D16),"kg","lbm")</f>
        <v>165.34669663865816</v>
      </c>
      <c r="I56" s="42">
        <f t="shared" ref="I56:I59" si="21">IF(H56="","",(J56-J55))</f>
        <v>125.14570265820413</v>
      </c>
      <c r="J56" s="35">
        <f t="shared" si="17"/>
        <v>293.67633594767352</v>
      </c>
    </row>
    <row r="57" spans="1:11">
      <c r="A57">
        <v>3</v>
      </c>
      <c r="B57" s="30">
        <f t="shared" si="18"/>
        <v>165.34669663865816</v>
      </c>
      <c r="C57" s="36">
        <f>CONVERT('Finisher Model - NE Metric'!D17,"kg","lbm")</f>
        <v>198.41603596638981</v>
      </c>
      <c r="D57" s="42">
        <f t="shared" si="19"/>
        <v>85.459098333462464</v>
      </c>
      <c r="E57" s="35">
        <f t="shared" si="16"/>
        <v>379.13543428113599</v>
      </c>
      <c r="G57" s="30">
        <f t="shared" si="20"/>
        <v>165.34669663865816</v>
      </c>
      <c r="H57" s="36">
        <f>CONVERT(IF(AND('Finisher Model - NE Metric'!E11=3,'Finisher Model - NE Metric'!E6="Carcass"),'FW - Projected Performance - NE'!$B$34,'Finisher Model - NE Metric'!D17),"kg","lbm")</f>
        <v>198.41603596638981</v>
      </c>
      <c r="I57" s="42">
        <f t="shared" si="21"/>
        <v>85.459098333462464</v>
      </c>
      <c r="J57" s="35">
        <f t="shared" si="17"/>
        <v>379.13543428113599</v>
      </c>
    </row>
    <row r="58" spans="1:11">
      <c r="A58">
        <v>4</v>
      </c>
      <c r="B58" s="30">
        <f t="shared" si="18"/>
        <v>198.41603596638981</v>
      </c>
      <c r="C58" s="36">
        <f>CONVERT('Finisher Model - NE Metric'!D18,"kg","lbm")</f>
        <v>242.50848840336533</v>
      </c>
      <c r="D58" s="42">
        <f t="shared" si="19"/>
        <v>126.04575397291302</v>
      </c>
      <c r="E58" s="35">
        <f t="shared" si="16"/>
        <v>505.181188254049</v>
      </c>
      <c r="G58" s="30">
        <f t="shared" si="20"/>
        <v>198.41603596638981</v>
      </c>
      <c r="H58" s="36">
        <f>CONVERT(IF(AND('Finisher Model - NE Metric'!E11=4,'Finisher Model - NE Metric'!E6="Carcass"),'FW - Projected Performance - NE'!$B$34,'Finisher Model - NE Metric'!D18),"kg","lbm")</f>
        <v>242.50848840336533</v>
      </c>
      <c r="I58" s="42">
        <f t="shared" si="21"/>
        <v>126.04575397291302</v>
      </c>
      <c r="J58" s="35">
        <f t="shared" si="17"/>
        <v>505.181188254049</v>
      </c>
    </row>
    <row r="59" spans="1:11">
      <c r="A59">
        <v>5</v>
      </c>
      <c r="B59" s="30">
        <f t="shared" si="18"/>
        <v>242.50848840336533</v>
      </c>
      <c r="C59" s="242">
        <f>CONVERT('Finisher Model - NE Metric'!D19,"kg","lbm")</f>
        <v>286.6009408403408</v>
      </c>
      <c r="D59" s="42">
        <f t="shared" si="19"/>
        <v>139.8746562909659</v>
      </c>
      <c r="E59" s="35">
        <f t="shared" si="16"/>
        <v>645.05584454501491</v>
      </c>
      <c r="G59" s="30">
        <f t="shared" si="20"/>
        <v>242.50848840336533</v>
      </c>
      <c r="H59" s="242">
        <f>CONVERT(IF(AND('Finisher Model - NE Metric'!E11=5,'Finisher Model - NE Metric'!E6="Carcass"),'FW - Projected Performance - NE'!$B$34,'Finisher Model - NE Metric'!D19),"kg","lbm")</f>
        <v>286.6009408403408</v>
      </c>
      <c r="I59" s="42">
        <f t="shared" si="21"/>
        <v>139.8746562909659</v>
      </c>
      <c r="J59" s="35">
        <f t="shared" si="17"/>
        <v>645.05584454501491</v>
      </c>
    </row>
    <row r="60" spans="1:11" ht="16.5" thickBot="1">
      <c r="A60">
        <v>6</v>
      </c>
      <c r="B60" s="37">
        <f t="shared" si="18"/>
        <v>286.6009408403408</v>
      </c>
      <c r="C60" s="60">
        <f>CONVERT('Finisher Model - NE Metric'!D20,"kg","lbm")</f>
        <v>0</v>
      </c>
      <c r="D60" s="63">
        <f>IF(C60="","",(E60-E59))</f>
        <v>-661.99363695607985</v>
      </c>
      <c r="E60" s="64">
        <f t="shared" si="16"/>
        <v>-16.937792411064947</v>
      </c>
      <c r="G60" s="37">
        <f t="shared" si="20"/>
        <v>286.6009408403408</v>
      </c>
      <c r="H60" s="60">
        <f>CONVERT(IF(AND('Finisher Model - NE Metric'!E11=6,'Finisher Model - NE Metric'!E6="Carcass"),'FW - Projected Performance - NE'!$B$34,'Finisher Model - NE Metric'!D20),"kg","lbm")</f>
        <v>0</v>
      </c>
      <c r="I60" s="63">
        <f>IF(H60="","",(J60-J59))</f>
        <v>-661.99363695607985</v>
      </c>
      <c r="J60" s="64">
        <f t="shared" si="17"/>
        <v>-16.937792411064947</v>
      </c>
    </row>
    <row r="61" spans="1:11">
      <c r="B61" s="3">
        <f t="shared" si="18"/>
        <v>0</v>
      </c>
      <c r="C61" s="5"/>
      <c r="D61" s="5"/>
      <c r="E61" s="5"/>
      <c r="G61" s="3">
        <f t="shared" si="20"/>
        <v>0</v>
      </c>
      <c r="H61" s="5"/>
      <c r="I61" s="5"/>
      <c r="J61" s="5"/>
    </row>
    <row r="63" spans="1:11" ht="57.75">
      <c r="B63" s="47" t="s">
        <v>77</v>
      </c>
      <c r="C63" s="47" t="s">
        <v>78</v>
      </c>
      <c r="D63" s="294" t="s">
        <v>79</v>
      </c>
      <c r="E63" s="294"/>
      <c r="F63" s="294"/>
      <c r="G63" s="54"/>
      <c r="H63" s="5"/>
      <c r="I63" s="295" t="s">
        <v>80</v>
      </c>
    </row>
    <row r="64" spans="1:11">
      <c r="B64" s="48" t="s">
        <v>81</v>
      </c>
      <c r="C64" s="48" t="s">
        <v>81</v>
      </c>
      <c r="D64" s="48" t="s">
        <v>82</v>
      </c>
      <c r="E64" s="48" t="s">
        <v>83</v>
      </c>
      <c r="F64" s="48" t="s">
        <v>84</v>
      </c>
      <c r="G64" s="48"/>
      <c r="H64" s="48"/>
      <c r="I64" s="296"/>
      <c r="J64" s="48" t="s">
        <v>92</v>
      </c>
      <c r="K64" t="s">
        <v>153</v>
      </c>
    </row>
    <row r="65" spans="2:11">
      <c r="B65" s="47">
        <v>81</v>
      </c>
      <c r="C65" s="49">
        <v>110.17670623134534</v>
      </c>
      <c r="D65" s="6">
        <v>16.864782047899471</v>
      </c>
      <c r="E65" s="6">
        <v>14.510728742835685</v>
      </c>
      <c r="F65" s="49">
        <v>15.687755395367578</v>
      </c>
      <c r="G65" s="49"/>
      <c r="H65" s="50"/>
      <c r="I65" s="51">
        <v>0.73518262408316082</v>
      </c>
      <c r="J65" s="6">
        <f>(I65*$B$38)*100</f>
        <v>72.613376012064478</v>
      </c>
      <c r="K65" s="6">
        <f>J65*$B$42</f>
        <v>72.437202650734932</v>
      </c>
    </row>
    <row r="66" spans="2:11">
      <c r="B66" s="47">
        <v>82</v>
      </c>
      <c r="C66" s="49">
        <v>111.4039519642067</v>
      </c>
      <c r="D66" s="6">
        <v>17.074455706764272</v>
      </c>
      <c r="E66" s="6">
        <v>14.613701440729169</v>
      </c>
      <c r="F66" s="49">
        <v>15.844078573746721</v>
      </c>
      <c r="G66" s="49"/>
      <c r="H66" s="50"/>
      <c r="I66" s="51">
        <v>0.73606006388665657</v>
      </c>
      <c r="J66" s="6">
        <f t="shared" ref="J66:J104" si="22">(I66*$B$38)*100</f>
        <v>72.700040011310435</v>
      </c>
      <c r="K66" s="6">
        <f t="shared" ref="K66:K104" si="23">J66*$B$42</f>
        <v>72.523656387231895</v>
      </c>
    </row>
    <row r="67" spans="2:11">
      <c r="B67" s="47">
        <v>83</v>
      </c>
      <c r="C67" s="49">
        <v>112.6282752396024</v>
      </c>
      <c r="D67" s="6">
        <v>17.284147265806148</v>
      </c>
      <c r="E67" s="6">
        <v>14.71614342750836</v>
      </c>
      <c r="F67" s="49">
        <v>16.000145346657256</v>
      </c>
      <c r="G67" s="49"/>
      <c r="H67" s="50"/>
      <c r="I67" s="51">
        <v>0.73693750369015243</v>
      </c>
      <c r="J67" s="6">
        <f t="shared" si="22"/>
        <v>72.78670401055642</v>
      </c>
      <c r="K67" s="6">
        <f t="shared" si="23"/>
        <v>72.610110123728901</v>
      </c>
    </row>
    <row r="68" spans="2:11">
      <c r="B68" s="47">
        <v>84</v>
      </c>
      <c r="C68" s="49">
        <v>113.84968648405146</v>
      </c>
      <c r="D68" s="6">
        <v>17.493856510850449</v>
      </c>
      <c r="E68" s="6">
        <v>14.81806378371237</v>
      </c>
      <c r="F68" s="49">
        <v>16.155960147281409</v>
      </c>
      <c r="G68" s="49"/>
      <c r="H68" s="50"/>
      <c r="I68" s="51">
        <v>0.73781494349364829</v>
      </c>
      <c r="J68" s="6">
        <f t="shared" si="22"/>
        <v>72.873368009802391</v>
      </c>
      <c r="K68" s="6">
        <f t="shared" si="23"/>
        <v>72.696563860225879</v>
      </c>
    </row>
    <row r="69" spans="2:11">
      <c r="B69" s="47">
        <v>85</v>
      </c>
      <c r="C69" s="49">
        <v>115.06819607453319</v>
      </c>
      <c r="D69" s="6">
        <v>17.703583232804778</v>
      </c>
      <c r="E69" s="6">
        <v>14.919471328516645</v>
      </c>
      <c r="F69" s="49">
        <v>16.311527280660712</v>
      </c>
      <c r="G69" s="49"/>
      <c r="H69" s="50"/>
      <c r="I69" s="51">
        <v>0.73869238329714404</v>
      </c>
      <c r="J69" s="6">
        <f t="shared" si="22"/>
        <v>72.960032009048362</v>
      </c>
      <c r="K69" s="6">
        <f t="shared" si="23"/>
        <v>72.783017596722871</v>
      </c>
    </row>
    <row r="70" spans="2:11">
      <c r="B70" s="47">
        <v>86</v>
      </c>
      <c r="C70" s="49">
        <v>116.28381433878111</v>
      </c>
      <c r="D70" s="6">
        <v>17.913327227479776</v>
      </c>
      <c r="E70" s="6">
        <v>15.020374630235036</v>
      </c>
      <c r="F70" s="49">
        <v>16.466850928857404</v>
      </c>
      <c r="G70" s="49"/>
      <c r="H70" s="49"/>
      <c r="I70" s="51">
        <v>0.7395698231006399</v>
      </c>
      <c r="J70" s="6">
        <f t="shared" si="22"/>
        <v>73.046696008294333</v>
      </c>
      <c r="K70" s="6">
        <f t="shared" si="23"/>
        <v>72.869471333219863</v>
      </c>
    </row>
    <row r="71" spans="2:11">
      <c r="B71" s="47">
        <v>87</v>
      </c>
      <c r="C71" s="49">
        <v>117.49655155557477</v>
      </c>
      <c r="D71" s="6">
        <v>18.123088295418643</v>
      </c>
      <c r="E71" s="6">
        <v>15.120782016283018</v>
      </c>
      <c r="F71" s="49">
        <v>16.621935155850831</v>
      </c>
      <c r="G71" s="49"/>
      <c r="H71" s="49"/>
      <c r="I71" s="51">
        <v>0.74044726290413565</v>
      </c>
      <c r="J71" s="6">
        <f t="shared" si="22"/>
        <v>73.13336000754029</v>
      </c>
      <c r="K71" s="6">
        <f t="shared" si="23"/>
        <v>72.955925069716827</v>
      </c>
    </row>
    <row r="72" spans="2:11">
      <c r="B72" s="47">
        <v>88</v>
      </c>
      <c r="C72" s="49">
        <v>118.70641795502937</v>
      </c>
      <c r="D72" s="6">
        <v>18.332866241734184</v>
      </c>
      <c r="E72" s="6">
        <v>15.220701582635391</v>
      </c>
      <c r="F72" s="49">
        <v>16.776783912184786</v>
      </c>
      <c r="G72" s="49"/>
      <c r="H72" s="49"/>
      <c r="I72" s="51">
        <v>0.74132470270763151</v>
      </c>
      <c r="J72" s="6">
        <f t="shared" si="22"/>
        <v>73.220024006786275</v>
      </c>
      <c r="K72" s="6">
        <f t="shared" si="23"/>
        <v>73.042378806213833</v>
      </c>
    </row>
    <row r="73" spans="2:11">
      <c r="B73" s="47">
        <v>89</v>
      </c>
      <c r="C73" s="49">
        <v>119.91342371888354</v>
      </c>
      <c r="D73" s="6">
        <v>18.542660875953423</v>
      </c>
      <c r="E73" s="6">
        <v>15.320141202809715</v>
      </c>
      <c r="F73" s="49">
        <v>16.931401039381569</v>
      </c>
      <c r="G73" s="49"/>
      <c r="H73" s="49"/>
      <c r="I73" s="51">
        <v>0.74220214251112737</v>
      </c>
      <c r="J73" s="6">
        <f t="shared" si="22"/>
        <v>73.306688006032246</v>
      </c>
      <c r="K73" s="6">
        <f t="shared" si="23"/>
        <v>73.128832542710811</v>
      </c>
    </row>
    <row r="74" spans="2:11">
      <c r="B74" s="5">
        <v>90</v>
      </c>
      <c r="C74" s="49">
        <v>121.11757898078487</v>
      </c>
      <c r="D74" s="6">
        <v>18.752472011869195</v>
      </c>
      <c r="E74" s="6">
        <v>15.419108536404257</v>
      </c>
      <c r="F74" s="49">
        <v>17.085790274136727</v>
      </c>
      <c r="G74" s="49"/>
      <c r="H74" s="6"/>
      <c r="I74" s="51">
        <v>0.74307958231462312</v>
      </c>
      <c r="J74" s="6">
        <f t="shared" si="22"/>
        <v>73.393352005278217</v>
      </c>
      <c r="K74" s="6">
        <f t="shared" si="23"/>
        <v>73.215286279207803</v>
      </c>
    </row>
    <row r="75" spans="2:11">
      <c r="B75" s="5">
        <v>91</v>
      </c>
      <c r="C75" s="49">
        <v>122.31889382657351</v>
      </c>
      <c r="D75" s="6">
        <v>18.962299467398132</v>
      </c>
      <c r="E75" s="6">
        <v>15.517611037217174</v>
      </c>
      <c r="F75" s="49">
        <v>17.239955252307652</v>
      </c>
      <c r="G75" s="49"/>
      <c r="H75" s="6"/>
      <c r="I75" s="51">
        <v>0.74395702211811898</v>
      </c>
      <c r="J75" s="6">
        <f t="shared" si="22"/>
        <v>73.480016004524188</v>
      </c>
      <c r="K75" s="6">
        <f t="shared" si="23"/>
        <v>73.30174001570478</v>
      </c>
    </row>
    <row r="76" spans="2:11">
      <c r="B76" s="5">
        <v>92</v>
      </c>
      <c r="C76" s="49">
        <v>123.51737829456385</v>
      </c>
      <c r="D76" s="6">
        <v>19.172143064445141</v>
      </c>
      <c r="E76" s="6">
        <v>15.615655960971905</v>
      </c>
      <c r="F76" s="49">
        <v>17.393899512708522</v>
      </c>
      <c r="G76" s="49"/>
      <c r="H76" s="6"/>
      <c r="I76" s="51">
        <v>0.74483446192161473</v>
      </c>
      <c r="J76" s="6">
        <f t="shared" si="22"/>
        <v>73.566680003770145</v>
      </c>
      <c r="K76" s="6">
        <f t="shared" si="23"/>
        <v>73.388193752201758</v>
      </c>
    </row>
    <row r="77" spans="2:11">
      <c r="B77" s="5">
        <v>93</v>
      </c>
      <c r="C77" s="49">
        <v>124.71304237582397</v>
      </c>
      <c r="D77" s="6">
        <v>19.382002628773577</v>
      </c>
      <c r="E77" s="6">
        <v>15.713250372671933</v>
      </c>
      <c r="F77" s="49">
        <v>17.547626500722757</v>
      </c>
      <c r="G77" s="49"/>
      <c r="H77" s="6"/>
      <c r="I77" s="51">
        <v>0.74571190172511059</v>
      </c>
      <c r="J77" s="6">
        <f t="shared" si="22"/>
        <v>73.65334400301613</v>
      </c>
      <c r="K77" s="6">
        <f t="shared" si="23"/>
        <v>73.47464748869875</v>
      </c>
    </row>
    <row r="78" spans="2:11">
      <c r="B78" s="5">
        <v>94</v>
      </c>
      <c r="C78" s="49">
        <v>125.90589601445348</v>
      </c>
      <c r="D78" s="6">
        <v>19.591877989881006</v>
      </c>
      <c r="E78" s="6">
        <v>15.81040115360647</v>
      </c>
      <c r="F78" s="49">
        <v>17.701139571743738</v>
      </c>
      <c r="G78" s="49"/>
      <c r="H78" s="6"/>
      <c r="I78" s="51">
        <v>0.74658934152860634</v>
      </c>
      <c r="J78" s="6">
        <f t="shared" si="22"/>
        <v>73.740008002262087</v>
      </c>
      <c r="K78" s="6">
        <f t="shared" si="23"/>
        <v>73.561101225195728</v>
      </c>
    </row>
    <row r="79" spans="2:11">
      <c r="B79" s="5">
        <v>95</v>
      </c>
      <c r="C79" s="49">
        <v>127.09594910785896</v>
      </c>
      <c r="D79" s="6">
        <v>19.80176898088045</v>
      </c>
      <c r="E79" s="6">
        <v>15.907115008027194</v>
      </c>
      <c r="F79" s="49">
        <v>17.854441994453822</v>
      </c>
      <c r="G79" s="49"/>
      <c r="H79" s="6"/>
      <c r="I79" s="51">
        <v>0.7474667813321022</v>
      </c>
      <c r="J79" s="6">
        <f t="shared" si="22"/>
        <v>73.826672001508058</v>
      </c>
      <c r="K79" s="6">
        <f t="shared" si="23"/>
        <v>73.647554961692705</v>
      </c>
    </row>
    <row r="80" spans="2:11">
      <c r="B80" s="5">
        <v>96</v>
      </c>
      <c r="C80" s="49">
        <v>128.28321150702794</v>
      </c>
      <c r="D80" s="6">
        <v>20.011675438386312</v>
      </c>
      <c r="E80" s="6">
        <v>16.003398469514622</v>
      </c>
      <c r="F80" s="49">
        <v>18.007536953950467</v>
      </c>
      <c r="G80" s="49"/>
      <c r="H80" s="6"/>
      <c r="I80" s="51">
        <v>0.74834422113559795</v>
      </c>
      <c r="J80" s="6">
        <f t="shared" si="22"/>
        <v>73.913336000754029</v>
      </c>
      <c r="K80" s="6">
        <f t="shared" si="23"/>
        <v>73.734008698189697</v>
      </c>
    </row>
    <row r="81" spans="2:11">
      <c r="B81" s="5">
        <v>97</v>
      </c>
      <c r="C81" s="49">
        <v>129.46769301680052</v>
      </c>
      <c r="D81" s="6">
        <v>20.221597202405267</v>
      </c>
      <c r="E81" s="6">
        <v>16.099257907051943</v>
      </c>
      <c r="F81" s="49">
        <v>18.160427554728606</v>
      </c>
      <c r="G81" s="49"/>
      <c r="H81" s="6"/>
      <c r="I81" s="51">
        <v>0.74922166093909381</v>
      </c>
      <c r="J81" s="6">
        <f t="shared" si="22"/>
        <v>74</v>
      </c>
      <c r="K81" s="6">
        <f>J81*$B$42</f>
        <v>73.820462434686675</v>
      </c>
    </row>
    <row r="82" spans="2:11">
      <c r="B82" s="5">
        <v>98</v>
      </c>
      <c r="C82" s="49">
        <v>130.64940339613941</v>
      </c>
      <c r="D82" s="6">
        <v>20.43153411623155</v>
      </c>
      <c r="E82" s="6">
        <v>16.194699530822238</v>
      </c>
      <c r="F82" s="49">
        <v>18.313116823526894</v>
      </c>
      <c r="G82" s="49"/>
      <c r="H82" s="6"/>
      <c r="I82" s="51">
        <v>0.75009910074258968</v>
      </c>
      <c r="J82" s="6">
        <f t="shared" si="22"/>
        <v>74.086663999245985</v>
      </c>
      <c r="K82" s="6">
        <f t="shared" si="23"/>
        <v>73.906916171183681</v>
      </c>
    </row>
    <row r="83" spans="2:11">
      <c r="B83" s="5">
        <v>99</v>
      </c>
      <c r="C83" s="49">
        <v>131.82835235839786</v>
      </c>
      <c r="D83" s="6">
        <v>20.641486026346577</v>
      </c>
      <c r="E83" s="6">
        <v>16.289729397744711</v>
      </c>
      <c r="F83" s="49">
        <v>18.465607712045646</v>
      </c>
      <c r="G83" s="49"/>
      <c r="H83" s="6"/>
      <c r="I83" s="51">
        <v>0.75097654054608542</v>
      </c>
      <c r="J83" s="6">
        <f t="shared" si="22"/>
        <v>74.173327998491942</v>
      </c>
      <c r="K83" s="6">
        <f t="shared" si="23"/>
        <v>73.993369907680645</v>
      </c>
    </row>
    <row r="84" spans="2:11">
      <c r="B84" s="5">
        <v>100</v>
      </c>
      <c r="C84" s="49">
        <v>133.00454957158581</v>
      </c>
      <c r="D84" s="6">
        <v>20.851452782322603</v>
      </c>
      <c r="E84" s="6">
        <v>16.384353416763961</v>
      </c>
      <c r="F84" s="49">
        <v>18.617903099543284</v>
      </c>
      <c r="G84" s="49"/>
      <c r="H84" s="6"/>
      <c r="I84" s="51">
        <v>0.75185398034958129</v>
      </c>
      <c r="J84" s="6">
        <f t="shared" si="22"/>
        <v>74.259991997737913</v>
      </c>
      <c r="K84" s="6">
        <f t="shared" si="23"/>
        <v>74.079823644177637</v>
      </c>
    </row>
    <row r="85" spans="2:11">
      <c r="B85" s="5">
        <v>101</v>
      </c>
      <c r="C85" s="49">
        <v>134.17800465863434</v>
      </c>
      <c r="D85" s="6">
        <v>21.061434236730111</v>
      </c>
      <c r="E85" s="6">
        <v>16.478577353905742</v>
      </c>
      <c r="F85" s="49">
        <v>18.770005795317928</v>
      </c>
      <c r="G85" s="49"/>
      <c r="H85" s="6"/>
      <c r="I85" s="51">
        <v>0.75273142015307704</v>
      </c>
      <c r="J85" s="6">
        <f t="shared" si="22"/>
        <v>74.346655996983884</v>
      </c>
      <c r="K85" s="6">
        <f t="shared" si="23"/>
        <v>74.166277380674629</v>
      </c>
    </row>
    <row r="86" spans="2:11">
      <c r="B86" s="5">
        <v>102</v>
      </c>
      <c r="C86" s="49">
        <v>135.34872719765769</v>
      </c>
      <c r="D86" s="6">
        <v>21.27143024504899</v>
      </c>
      <c r="E86" s="6">
        <v>16.572406837111849</v>
      </c>
      <c r="F86" s="49">
        <v>18.921918541080419</v>
      </c>
      <c r="G86" s="49"/>
      <c r="H86" s="6"/>
      <c r="I86" s="51">
        <v>0.7536088599565729</v>
      </c>
      <c r="J86" s="6">
        <f t="shared" si="22"/>
        <v>74.433319996229855</v>
      </c>
      <c r="K86" s="6">
        <f t="shared" si="23"/>
        <v>74.252731117171606</v>
      </c>
    </row>
    <row r="87" spans="2:11">
      <c r="B87" s="5">
        <v>103</v>
      </c>
      <c r="C87" s="49">
        <v>136.51672672221434</v>
      </c>
      <c r="D87" s="6">
        <v>21.481440665583278</v>
      </c>
      <c r="E87" s="6">
        <v>16.665847360865602</v>
      </c>
      <c r="F87" s="49">
        <v>19.073644013224438</v>
      </c>
      <c r="G87" s="49"/>
      <c r="H87" s="6"/>
      <c r="I87" s="51">
        <v>0.75448629976006876</v>
      </c>
      <c r="J87" s="6">
        <f t="shared" si="22"/>
        <v>74.51998399547584</v>
      </c>
      <c r="K87" s="6">
        <f t="shared" si="23"/>
        <v>74.339184853668613</v>
      </c>
    </row>
    <row r="88" spans="2:11">
      <c r="B88" s="5">
        <v>104</v>
      </c>
      <c r="C88" s="49">
        <v>137.68201272156554</v>
      </c>
      <c r="D88" s="6">
        <v>21.69146535937886</v>
      </c>
      <c r="E88" s="6">
        <v>16.758904290619089</v>
      </c>
      <c r="F88" s="49">
        <v>19.225184824998976</v>
      </c>
      <c r="G88" s="49"/>
      <c r="H88" s="6"/>
      <c r="I88" s="51">
        <v>0.75536373956356451</v>
      </c>
      <c r="J88" s="6">
        <f t="shared" si="22"/>
        <v>74.606647994721797</v>
      </c>
      <c r="K88" s="6">
        <f t="shared" si="23"/>
        <v>74.425638590165576</v>
      </c>
    </row>
    <row r="89" spans="2:11">
      <c r="B89" s="5">
        <v>105</v>
      </c>
      <c r="C89" s="49">
        <v>138.84459464093223</v>
      </c>
      <c r="D89" s="6">
        <v>21.901504190144763</v>
      </c>
      <c r="E89" s="6">
        <v>16.851582867032572</v>
      </c>
      <c r="F89" s="49">
        <v>19.37654352858867</v>
      </c>
      <c r="G89" s="49"/>
      <c r="H89" s="6"/>
      <c r="I89" s="51">
        <v>0.75624117936706026</v>
      </c>
      <c r="J89" s="6">
        <f t="shared" si="22"/>
        <v>74.693311993967754</v>
      </c>
      <c r="K89" s="6">
        <f t="shared" si="23"/>
        <v>74.512092326662554</v>
      </c>
    </row>
    <row r="90" spans="2:11">
      <c r="B90" s="5">
        <v>106</v>
      </c>
      <c r="C90" s="49">
        <v>140.00448188175039</v>
      </c>
      <c r="D90" s="6">
        <v>22.111557024177106</v>
      </c>
      <c r="E90" s="6">
        <v>16.943888210035503</v>
      </c>
      <c r="F90" s="49">
        <v>19.527722617106306</v>
      </c>
      <c r="G90" s="49"/>
      <c r="H90" s="6"/>
      <c r="I90" s="51">
        <v>0.75711861917055612</v>
      </c>
      <c r="J90" s="6">
        <f t="shared" si="22"/>
        <v>74.779975993213725</v>
      </c>
      <c r="K90" s="6">
        <f t="shared" si="23"/>
        <v>74.598546063159532</v>
      </c>
    </row>
    <row r="91" spans="2:11">
      <c r="B91" s="5">
        <v>107</v>
      </c>
      <c r="C91" s="49">
        <v>141.16168380192445</v>
      </c>
      <c r="D91" s="6">
        <v>22.321623730286092</v>
      </c>
      <c r="E91" s="6">
        <v>17.035825322718448</v>
      </c>
      <c r="F91" s="49">
        <v>19.678724526502272</v>
      </c>
      <c r="G91" s="49"/>
      <c r="H91" s="6"/>
      <c r="I91" s="51">
        <v>0.75799605897405198</v>
      </c>
      <c r="J91" s="6">
        <f t="shared" si="22"/>
        <v>74.86663999245971</v>
      </c>
      <c r="K91" s="6">
        <f t="shared" si="23"/>
        <v>74.684999799656538</v>
      </c>
    </row>
    <row r="92" spans="2:11">
      <c r="B92" s="5">
        <v>108</v>
      </c>
      <c r="C92" s="49">
        <v>142.31620971607887</v>
      </c>
      <c r="D92" s="6">
        <v>22.531704179725708</v>
      </c>
      <c r="E92" s="6">
        <v>17.127399095064437</v>
      </c>
      <c r="F92" s="49">
        <v>19.82955163739507</v>
      </c>
      <c r="G92" s="49"/>
      <c r="H92" s="6"/>
      <c r="I92" s="51">
        <v>0.75887349877754773</v>
      </c>
      <c r="J92" s="6">
        <f t="shared" si="22"/>
        <v>74.953303991705681</v>
      </c>
      <c r="K92" s="6">
        <f t="shared" si="23"/>
        <v>74.771453536153516</v>
      </c>
    </row>
    <row r="93" spans="2:11">
      <c r="B93" s="5">
        <v>109</v>
      </c>
      <c r="C93" s="49">
        <v>143.46806889580807</v>
      </c>
      <c r="D93" s="6">
        <v>22.741798246125917</v>
      </c>
      <c r="E93" s="6">
        <v>17.218614307527691</v>
      </c>
      <c r="F93" s="49">
        <v>19.980206276826806</v>
      </c>
      <c r="G93" s="49"/>
      <c r="H93" s="6"/>
      <c r="I93" s="51">
        <v>0.75975093858104359</v>
      </c>
      <c r="J93" s="6">
        <f t="shared" si="22"/>
        <v>75.039967990951652</v>
      </c>
      <c r="K93" s="6">
        <f t="shared" si="23"/>
        <v>74.857907272650507</v>
      </c>
    </row>
    <row r="94" spans="2:11">
      <c r="B94" s="5">
        <v>110</v>
      </c>
      <c r="C94" s="49">
        <v>144.61727056992473</v>
      </c>
      <c r="D94" s="6">
        <v>22.951905805427518</v>
      </c>
      <c r="E94" s="6">
        <v>17.309475634467464</v>
      </c>
      <c r="F94" s="49">
        <v>20.130690719947491</v>
      </c>
      <c r="G94" s="49"/>
      <c r="H94" s="6"/>
      <c r="I94" s="51">
        <v>0.76062837838453934</v>
      </c>
      <c r="J94" s="6">
        <f t="shared" si="22"/>
        <v>75.126631990197609</v>
      </c>
      <c r="K94" s="6">
        <f t="shared" si="23"/>
        <v>74.944361009147471</v>
      </c>
    </row>
    <row r="95" spans="2:11">
      <c r="B95" s="5">
        <v>111</v>
      </c>
      <c r="C95" s="49">
        <v>145.76382392470609</v>
      </c>
      <c r="D95" s="6">
        <v>23.162026735819119</v>
      </c>
      <c r="E95" s="6">
        <v>17.399987647444007</v>
      </c>
      <c r="F95" s="49">
        <v>20.281007191631563</v>
      </c>
      <c r="G95" s="49"/>
      <c r="H95" s="6"/>
      <c r="I95" s="51">
        <v>0.7615058181880352</v>
      </c>
      <c r="J95" s="6">
        <f t="shared" si="22"/>
        <v>75.21329598944358</v>
      </c>
      <c r="K95" s="6">
        <f t="shared" si="23"/>
        <v>75.030814745644463</v>
      </c>
    </row>
    <row r="96" spans="2:11">
      <c r="B96" s="5">
        <v>112</v>
      </c>
      <c r="C96" s="49">
        <v>146.9077381041389</v>
      </c>
      <c r="D96" s="6">
        <v>23.372160917676677</v>
      </c>
      <c r="E96" s="6">
        <v>17.49015481838342</v>
      </c>
      <c r="F96" s="49">
        <v>20.431157868030049</v>
      </c>
      <c r="G96" s="49"/>
      <c r="H96" s="6"/>
      <c r="I96" s="51">
        <v>0.76238325799153106</v>
      </c>
      <c r="J96" s="6">
        <f t="shared" si="22"/>
        <v>75.299959988689551</v>
      </c>
      <c r="K96" s="6">
        <f t="shared" si="23"/>
        <v>75.117268482141441</v>
      </c>
    </row>
    <row r="97" spans="2:11">
      <c r="B97" s="5">
        <v>113</v>
      </c>
      <c r="C97" s="49">
        <v>148.04902221016243</v>
      </c>
      <c r="D97" s="6">
        <v>23.582308233504943</v>
      </c>
      <c r="E97" s="6">
        <v>17.579981522617746</v>
      </c>
      <c r="F97" s="49">
        <v>20.581144878061345</v>
      </c>
      <c r="G97" s="49"/>
      <c r="H97" s="6"/>
      <c r="I97" s="51">
        <v>0.76326069779502681</v>
      </c>
      <c r="J97" s="6">
        <f t="shared" si="22"/>
        <v>75.386623987935536</v>
      </c>
      <c r="K97" s="6">
        <f t="shared" si="23"/>
        <v>75.203722218638447</v>
      </c>
    </row>
    <row r="98" spans="2:11">
      <c r="B98" s="5">
        <v>114</v>
      </c>
      <c r="C98" s="49">
        <v>149.18768530290981</v>
      </c>
      <c r="D98" s="6">
        <v>23.792468567881055</v>
      </c>
      <c r="E98" s="6">
        <v>17.66947204180623</v>
      </c>
      <c r="F98" s="49">
        <v>20.730970304843645</v>
      </c>
      <c r="G98" s="49"/>
      <c r="H98" s="6"/>
      <c r="I98" s="51">
        <v>0.76413813759852267</v>
      </c>
      <c r="J98" s="6">
        <f t="shared" si="22"/>
        <v>75.473287987181507</v>
      </c>
      <c r="K98" s="6">
        <f t="shared" si="23"/>
        <v>75.290175955135439</v>
      </c>
    </row>
    <row r="99" spans="2:11">
      <c r="B99" s="5">
        <v>115</v>
      </c>
      <c r="C99" s="49">
        <v>150.32373640094792</v>
      </c>
      <c r="D99" s="6">
        <v>24.002641807400256</v>
      </c>
      <c r="E99" s="6">
        <v>17.758630566743491</v>
      </c>
      <c r="F99" s="49">
        <v>20.880636187071872</v>
      </c>
      <c r="G99" s="49"/>
      <c r="H99" s="6"/>
      <c r="I99" s="51">
        <v>0.76501557740201842</v>
      </c>
      <c r="J99" s="6">
        <f t="shared" si="22"/>
        <v>75.559951986427464</v>
      </c>
      <c r="K99" s="6">
        <f t="shared" si="23"/>
        <v>75.376629691632402</v>
      </c>
    </row>
    <row r="100" spans="2:11">
      <c r="B100" s="5">
        <v>116</v>
      </c>
      <c r="C100" s="49">
        <v>151.45718448151536</v>
      </c>
      <c r="D100" s="6">
        <v>24.212827840623181</v>
      </c>
      <c r="E100" s="6">
        <v>17.847461200059801</v>
      </c>
      <c r="F100" s="49">
        <v>21.030144520341491</v>
      </c>
      <c r="G100" s="49"/>
      <c r="H100" s="6"/>
      <c r="I100" s="51">
        <v>0.76589301720551428</v>
      </c>
      <c r="J100" s="6">
        <f t="shared" si="22"/>
        <v>75.646615985673435</v>
      </c>
      <c r="K100" s="6">
        <f t="shared" si="23"/>
        <v>75.463083428129394</v>
      </c>
    </row>
    <row r="101" spans="2:11">
      <c r="B101" s="5">
        <v>117</v>
      </c>
      <c r="C101" s="49">
        <v>152.58803848075902</v>
      </c>
      <c r="D101" s="6">
        <v>24.423026558025349</v>
      </c>
      <c r="E101" s="6">
        <v>17.935967958818601</v>
      </c>
      <c r="F101" s="49">
        <v>21.179497258421975</v>
      </c>
      <c r="G101" s="49"/>
      <c r="H101" s="6"/>
      <c r="I101" s="51">
        <v>0.76677045700901003</v>
      </c>
      <c r="J101" s="6">
        <f t="shared" si="22"/>
        <v>75.733279984919406</v>
      </c>
      <c r="K101" s="6">
        <f t="shared" si="23"/>
        <v>75.549537164626372</v>
      </c>
    </row>
    <row r="102" spans="2:11">
      <c r="B102" s="5">
        <v>118</v>
      </c>
      <c r="C102" s="49">
        <v>153.71630729396878</v>
      </c>
      <c r="D102" s="6">
        <v>24.633237851947925</v>
      </c>
      <c r="E102" s="6">
        <v>18.024154777015983</v>
      </c>
      <c r="F102" s="49">
        <v>21.328696314481952</v>
      </c>
      <c r="G102" s="49"/>
      <c r="H102" s="6"/>
      <c r="I102" s="51">
        <v>0.76764789681250589</v>
      </c>
      <c r="J102" s="6">
        <f t="shared" si="22"/>
        <v>75.819943984165377</v>
      </c>
      <c r="K102" s="6">
        <f t="shared" si="23"/>
        <v>75.635990901123364</v>
      </c>
    </row>
    <row r="103" spans="2:11">
      <c r="B103" s="5">
        <v>119</v>
      </c>
      <c r="C103" s="49">
        <v>154.84199977581099</v>
      </c>
      <c r="D103" s="6">
        <v>24.843461616550663</v>
      </c>
      <c r="E103" s="6">
        <v>18.112025507986587</v>
      </c>
      <c r="F103" s="49">
        <v>21.477743562268625</v>
      </c>
      <c r="G103" s="49"/>
      <c r="H103" s="6"/>
      <c r="I103" s="51">
        <v>0.76852533661600164</v>
      </c>
      <c r="J103" s="6">
        <f t="shared" si="22"/>
        <v>75.906607983411348</v>
      </c>
      <c r="K103" s="6">
        <f t="shared" si="23"/>
        <v>75.722444637620342</v>
      </c>
    </row>
    <row r="104" spans="2:11">
      <c r="B104" s="5">
        <v>120</v>
      </c>
      <c r="C104" s="49">
        <v>155.96512474055984</v>
      </c>
      <c r="D104" s="6">
        <v>25.053697747765945</v>
      </c>
      <c r="E104" s="6">
        <v>18.199583926720305</v>
      </c>
      <c r="F104" s="49">
        <v>21.626640837243123</v>
      </c>
      <c r="G104" s="49"/>
      <c r="H104" s="6"/>
      <c r="I104" s="51">
        <v>0.7694027764194975</v>
      </c>
      <c r="J104" s="6">
        <f t="shared" si="22"/>
        <v>75.993271982657319</v>
      </c>
      <c r="K104" s="6">
        <f t="shared" si="23"/>
        <v>75.808898374117334</v>
      </c>
    </row>
  </sheetData>
  <mergeCells count="10">
    <mergeCell ref="D63:F63"/>
    <mergeCell ref="I63:I64"/>
    <mergeCell ref="B50:E50"/>
    <mergeCell ref="A1:O1"/>
    <mergeCell ref="A2:A4"/>
    <mergeCell ref="J2:K3"/>
    <mergeCell ref="B49:E49"/>
    <mergeCell ref="B2:G3"/>
    <mergeCell ref="G49:J49"/>
    <mergeCell ref="G50:J5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CD52D-BA3D-4A42-B977-EE189B249F5D}">
  <sheetPr codeName="Sheet7">
    <tabColor rgb="FFFFFF00"/>
  </sheetPr>
  <dimension ref="A1:P94"/>
  <sheetViews>
    <sheetView topLeftCell="A4" zoomScale="85" zoomScaleNormal="85" workbookViewId="0">
      <selection activeCell="B28" sqref="B28"/>
    </sheetView>
  </sheetViews>
  <sheetFormatPr defaultColWidth="10.625" defaultRowHeight="15.75"/>
  <cols>
    <col min="1" max="1" width="66.125" bestFit="1" customWidth="1"/>
    <col min="2" max="2" width="11.125" customWidth="1"/>
    <col min="3" max="3" width="11.625" bestFit="1" customWidth="1"/>
    <col min="4" max="4" width="11" bestFit="1" customWidth="1"/>
    <col min="5" max="6" width="11.625" bestFit="1" customWidth="1"/>
    <col min="7" max="7" width="11.625" customWidth="1"/>
    <col min="10" max="10" width="48.625" bestFit="1" customWidth="1"/>
    <col min="13" max="13" width="10.625" customWidth="1"/>
  </cols>
  <sheetData>
    <row r="1" spans="1:16" ht="21">
      <c r="A1" s="290" t="s">
        <v>26</v>
      </c>
      <c r="B1" s="290"/>
      <c r="C1" s="290"/>
      <c r="D1" s="290"/>
      <c r="E1" s="290"/>
      <c r="F1" s="290"/>
      <c r="G1" s="290"/>
      <c r="H1" s="290"/>
      <c r="I1" s="290"/>
      <c r="J1" s="290"/>
      <c r="K1" s="290"/>
      <c r="L1" s="290"/>
      <c r="M1" s="290"/>
      <c r="N1" s="290"/>
      <c r="O1" s="290"/>
    </row>
    <row r="2" spans="1:16">
      <c r="A2" s="291" t="s">
        <v>27</v>
      </c>
      <c r="B2" s="293" t="s">
        <v>28</v>
      </c>
      <c r="C2" s="293"/>
      <c r="D2" s="293"/>
      <c r="E2" s="293"/>
      <c r="F2" s="293"/>
      <c r="G2" s="293"/>
      <c r="H2" s="2"/>
      <c r="I2" s="2"/>
      <c r="J2" s="293" t="s">
        <v>29</v>
      </c>
      <c r="K2" s="293"/>
      <c r="L2" s="55"/>
      <c r="M2" s="2"/>
      <c r="N2" s="2"/>
      <c r="O2" s="2"/>
    </row>
    <row r="3" spans="1:16">
      <c r="A3" s="291"/>
      <c r="B3" s="293"/>
      <c r="C3" s="293"/>
      <c r="D3" s="293"/>
      <c r="E3" s="293"/>
      <c r="F3" s="293"/>
      <c r="G3" s="293"/>
      <c r="H3" s="2"/>
      <c r="I3" s="2"/>
      <c r="J3" s="293"/>
      <c r="K3" s="293"/>
      <c r="L3" s="55"/>
      <c r="M3" s="2"/>
      <c r="N3" s="2"/>
      <c r="O3" s="2"/>
    </row>
    <row r="4" spans="1:16">
      <c r="A4" s="291"/>
      <c r="B4" s="8">
        <v>1</v>
      </c>
      <c r="C4" s="8">
        <v>2</v>
      </c>
      <c r="D4" s="8">
        <v>3</v>
      </c>
      <c r="E4" s="8">
        <v>4</v>
      </c>
      <c r="F4" s="8">
        <v>5</v>
      </c>
      <c r="G4" s="8">
        <v>6</v>
      </c>
      <c r="H4" s="2"/>
      <c r="I4" s="2"/>
      <c r="J4" s="2" t="s">
        <v>27</v>
      </c>
      <c r="K4" s="2" t="s">
        <v>30</v>
      </c>
      <c r="L4" s="2">
        <v>2</v>
      </c>
      <c r="M4" s="2">
        <v>3</v>
      </c>
      <c r="N4" s="2">
        <v>4</v>
      </c>
      <c r="O4" s="2">
        <v>5</v>
      </c>
      <c r="P4" s="2">
        <v>6</v>
      </c>
    </row>
    <row r="5" spans="1:16">
      <c r="A5" t="s">
        <v>177</v>
      </c>
      <c r="B5" s="3">
        <f>'Finisher Model - NE Metric'!C15</f>
        <v>23</v>
      </c>
      <c r="C5" s="3">
        <f>'Finisher Model - NE Metric'!C16</f>
        <v>50</v>
      </c>
      <c r="D5" s="3">
        <f>'Finisher Model - NE Metric'!C17</f>
        <v>75</v>
      </c>
      <c r="E5" s="3">
        <f>'Finisher Model - NE Metric'!C18</f>
        <v>90</v>
      </c>
      <c r="F5" s="3">
        <f>'Finisher Model - NE Metric'!C19</f>
        <v>110</v>
      </c>
      <c r="G5" s="3" t="str">
        <f>'Finisher Model - NE Metric'!C20</f>
        <v/>
      </c>
      <c r="J5" t="s">
        <v>186</v>
      </c>
      <c r="K5" s="7">
        <f>IF('Finisher Model - NE Metric'!$E$11=2,L5,IF('Finisher Model - NE Metric'!$E$11=3,M5,IF('Finisher Model - NE Metric'!$E$11=4,N5,IF('Finisher Model - NE Metric'!$E$11=5,O5,IF('Finisher Model - NE Metric'!$E$11=6,P5,"")))))</f>
        <v>0.97454990852594892</v>
      </c>
      <c r="L5">
        <f>((SUM(B19:C19)/SUM(B16:C16)))</f>
        <v>0.97613267484585242</v>
      </c>
      <c r="M5">
        <f>((SUM(B19:D19)/SUM(B16:D16)))</f>
        <v>0.97608758264392326</v>
      </c>
      <c r="N5">
        <f>SUM(B19:E19)/SUM(B16:E16)</f>
        <v>0.97425675240587473</v>
      </c>
      <c r="O5">
        <f>SUM(B19:F19)/SUM(B16:F16)</f>
        <v>0.97454990852594892</v>
      </c>
      <c r="P5" t="e">
        <f>SUM(B19:G19)/SUM(B16:G16)</f>
        <v>#VALUE!</v>
      </c>
    </row>
    <row r="6" spans="1:16">
      <c r="A6" t="s">
        <v>178</v>
      </c>
      <c r="B6" s="3">
        <f>'Finisher Model - NE Metric'!D15</f>
        <v>50</v>
      </c>
      <c r="C6" s="3">
        <f>'Finisher Model - NE Metric'!D16</f>
        <v>75</v>
      </c>
      <c r="D6" s="3">
        <f>'Finisher Model - NE Metric'!D17</f>
        <v>90</v>
      </c>
      <c r="E6" s="3">
        <f>'Finisher Model - NE Metric'!D18</f>
        <v>110</v>
      </c>
      <c r="F6" s="3">
        <f>'Finisher Model - NE Metric'!D19</f>
        <v>130</v>
      </c>
      <c r="G6" s="3">
        <f>'Finisher Model - NE Metric'!D20</f>
        <v>0</v>
      </c>
      <c r="J6" t="s">
        <v>40</v>
      </c>
      <c r="K6" s="7">
        <f>IF('Finisher Model - NE Metric'!$E$11=2,L6,IF('Finisher Model - NE Metric'!$E$11=3,M6,IF('Finisher Model - NE Metric'!$E$11=4,N6,IF('Finisher Model - NE Metric'!$E$11=5,O6,IF('Finisher Model - NE Metric'!$E$11=6,P6,"")))))</f>
        <v>2.4901296607587584</v>
      </c>
      <c r="L6">
        <f>SUM($B$17:$C$17)/SUM($B$19:$C$19)</f>
        <v>2.0019736483332924</v>
      </c>
      <c r="M6">
        <f>SUM($B$17:$D$17)/SUM($B$19:$D$19)</f>
        <v>2.1187485831591544</v>
      </c>
      <c r="N6">
        <f>SUM($B$17:$E$17)/SUM($B$19:$E$19)</f>
        <v>2.2859728866777278</v>
      </c>
      <c r="O6">
        <f>SUM($B$17:$F$17)/SUM($B$19:$F$19)</f>
        <v>2.4901296607587584</v>
      </c>
      <c r="P6" t="e">
        <f>SUM($B$17:$G$17)/SUM($B$19:$G$19)</f>
        <v>#VALUE!</v>
      </c>
    </row>
    <row r="7" spans="1:16">
      <c r="A7" t="s">
        <v>185</v>
      </c>
      <c r="B7" s="3">
        <f>B6-B5</f>
        <v>27</v>
      </c>
      <c r="C7" s="3">
        <f t="shared" ref="C7:E7" si="0">C6-C5</f>
        <v>25</v>
      </c>
      <c r="D7" s="3">
        <f t="shared" si="0"/>
        <v>15</v>
      </c>
      <c r="E7" s="3">
        <f t="shared" si="0"/>
        <v>20</v>
      </c>
      <c r="F7" s="3">
        <f>F6-F5</f>
        <v>20</v>
      </c>
      <c r="G7" s="3" t="e">
        <f>G6-G5</f>
        <v>#VALUE!</v>
      </c>
      <c r="J7" t="s">
        <v>183</v>
      </c>
      <c r="K7" s="7">
        <f>IF('Finisher Model - NE Metric'!$E$11=2,L7,IF('Finisher Model - NE Metric'!$E$11=3,M7,IF('Finisher Model - NE Metric'!$E$11=4,N7,IF('Finisher Model - NE Metric'!$E$11=5,O7,IF('Finisher Model - NE Metric'!$E$11=6,P7,"")))))</f>
        <v>2.4267556331102007</v>
      </c>
      <c r="L7" s="24">
        <f>SUM(B17:C17)/SUM(B16:C16)</f>
        <v>1.9541918923184867</v>
      </c>
      <c r="M7" s="24">
        <f>SUM(B17:D17)/SUM(B16:D16)</f>
        <v>2.0680841827660568</v>
      </c>
      <c r="N7" s="24">
        <f>SUM(B17:E17)/SUM(B16:E16)</f>
        <v>2.2271245206625254</v>
      </c>
      <c r="O7" s="11">
        <f>SUM(B17:F17)/SUM(B16:F16)</f>
        <v>2.4267556331102007</v>
      </c>
      <c r="P7" s="11" t="e">
        <f>SUM(B17:G17)/SUM(B16:G16)</f>
        <v>#VALUE!</v>
      </c>
    </row>
    <row r="8" spans="1:16">
      <c r="A8" t="s">
        <v>31</v>
      </c>
      <c r="B8" s="4">
        <f>'Finisher Model - NE Metric'!E15</f>
        <v>2400</v>
      </c>
      <c r="C8" s="4">
        <f>'Finisher Model - NE Metric'!E16</f>
        <v>2400</v>
      </c>
      <c r="D8" s="4">
        <f>'Finisher Model - NE Metric'!E17</f>
        <v>2500</v>
      </c>
      <c r="E8" s="4">
        <f>'Finisher Model - NE Metric'!E18</f>
        <v>2200</v>
      </c>
      <c r="F8" s="4">
        <f>'Finisher Model - NE Metric'!E19</f>
        <v>2400</v>
      </c>
      <c r="G8" s="4">
        <f>'Finisher Model - NE Metric'!E20</f>
        <v>0</v>
      </c>
      <c r="J8" t="s">
        <v>41</v>
      </c>
      <c r="K8" s="7">
        <f>IF('Finisher Model - NE Metric'!$E$11=2,L8,IF('Finisher Model - NE Metric'!$E$11=3,M8,IF('Finisher Model - NE Metric'!$E$11=4,N8,IF('Finisher Model - NE Metric'!$E$11=5,O8,IF('Finisher Model - NE Metric'!$E$11=6,P8,"")))))</f>
        <v>111.51461595852892</v>
      </c>
      <c r="L8" s="11">
        <f>SUM(B16:C16)</f>
        <v>54.498155321574046</v>
      </c>
      <c r="M8">
        <f>SUM(B16:D16)</f>
        <v>70.142010177916973</v>
      </c>
      <c r="N8">
        <f>SUM(B16:E16)</f>
        <v>90.669508829314722</v>
      </c>
      <c r="O8">
        <f>SUM(B16:F16)</f>
        <v>111.51461595852892</v>
      </c>
      <c r="P8" s="11" t="e">
        <f>SUM(B16:G16)</f>
        <v>#VALUE!</v>
      </c>
    </row>
    <row r="9" spans="1:16">
      <c r="A9" t="s">
        <v>32</v>
      </c>
      <c r="B9" s="5">
        <f>'Finisher Model - NE Metric'!J15</f>
        <v>279.72000000000003</v>
      </c>
      <c r="C9" s="5">
        <f>'Finisher Model - NE Metric'!J16</f>
        <v>263.02</v>
      </c>
      <c r="D9" s="5">
        <f>'Finisher Model - NE Metric'!J17</f>
        <v>249.4</v>
      </c>
      <c r="E9" s="5">
        <f>'Finisher Model - NE Metric'!J18</f>
        <v>238.86</v>
      </c>
      <c r="F9" s="5">
        <f>'Finisher Model - NE Metric'!J19</f>
        <v>232.35</v>
      </c>
      <c r="G9" s="5">
        <f>'Finisher Model - NE Metric'!J20</f>
        <v>0</v>
      </c>
      <c r="J9" t="s">
        <v>184</v>
      </c>
      <c r="K9" s="7">
        <f>IF('Finisher Model - NE Metric'!$E$11=2,L9,IF('Finisher Model - NE Metric'!$E$11=3,M9,IF('Finisher Model - NE Metric'!$E$11=4,N9,IF('Finisher Model - NE Metric'!$E$11=5,O9,IF('Finisher Model - NE Metric'!$E$11=6,P9,"")))))</f>
        <v>270.61872245148072</v>
      </c>
      <c r="L9" s="24">
        <f>SUM(B17:C17)</f>
        <v>106.49985327573359</v>
      </c>
      <c r="M9" s="24">
        <f>SUM(B17:D17)</f>
        <v>145.05958179636585</v>
      </c>
      <c r="N9" s="24">
        <f>SUM(B17:E17)</f>
        <v>201.93228639019418</v>
      </c>
      <c r="O9" s="24">
        <f>SUM(B17:F17)</f>
        <v>270.61872245148072</v>
      </c>
      <c r="P9" s="24" t="e">
        <f>SUM(B17:G17)</f>
        <v>#VALUE!</v>
      </c>
    </row>
    <row r="10" spans="1:16">
      <c r="A10" t="s">
        <v>180</v>
      </c>
      <c r="B10" s="3">
        <f>AVERAGE(B5:B6)</f>
        <v>36.5</v>
      </c>
      <c r="C10" s="3">
        <f t="shared" ref="C10:F10" si="1">AVERAGE(C5:C6)</f>
        <v>62.5</v>
      </c>
      <c r="D10" s="3">
        <f t="shared" si="1"/>
        <v>82.5</v>
      </c>
      <c r="E10" s="3">
        <f t="shared" si="1"/>
        <v>100</v>
      </c>
      <c r="F10" s="3">
        <f t="shared" si="1"/>
        <v>120</v>
      </c>
      <c r="G10" s="3">
        <f>AVERAGE(G5:G6)</f>
        <v>0</v>
      </c>
      <c r="J10" s="17" t="s">
        <v>42</v>
      </c>
      <c r="K10" s="7">
        <f>IF('Finisher Model - NE Metric'!$E$11=2,L10,IF('Finisher Model - NE Metric'!$E$11=3,M10,IF('Finisher Model - NE Metric'!$E$11=4,N10,IF('Finisher Model - NE Metric'!$E$11=5,O10,IF('Finisher Model - NE Metric'!$E$11=6,P10,"")))))</f>
        <v>74.981092335170089</v>
      </c>
      <c r="L10" s="15">
        <f>SUM(B18:C18)</f>
        <v>31.805013028480506</v>
      </c>
      <c r="M10" s="15">
        <f>SUM(B18:D18)</f>
        <v>42.407875534594822</v>
      </c>
      <c r="N10" s="17">
        <f>SUM(B18:E18)</f>
        <v>57.385399480881304</v>
      </c>
      <c r="O10" s="17">
        <f>SUM(B18:F18)</f>
        <v>74.981092335170089</v>
      </c>
      <c r="P10" s="15" t="e">
        <f>SUM(B18:G18)</f>
        <v>#VALUE!</v>
      </c>
    </row>
    <row r="11" spans="1:16" ht="16.5" thickBot="1">
      <c r="A11" t="s">
        <v>56</v>
      </c>
      <c r="B11" s="9">
        <f>IFERROR(651.36+531.33*'Finisher Model - NE Metric'!Q23-216.9*('Finisher Model - NE Metric'!Q23*'Finisher Model - NE Metric'!Q23),"")</f>
        <v>976.7535667664647</v>
      </c>
      <c r="C11" s="9">
        <f>IFERROR(651.36+531.33*'Finisher Model - NE Metric'!Q24-216.9*('Finisher Model - NE Metric'!Q24*'Finisher Model - NE Metric'!Q24),"")</f>
        <v>975.45242231339148</v>
      </c>
      <c r="D11" s="9">
        <f>IFERROR(651.36+531.33*'Finisher Model - NE Metric'!Q25-216.9*('Finisher Model - NE Metric'!Q25*'Finisher Model - NE Metric'!Q25),"")</f>
        <v>975.93049592539421</v>
      </c>
      <c r="E11" s="9">
        <f>IFERROR(651.36+531.33*'Finisher Model - NE Metric'!Q26-216.9*('Finisher Model - NE Metric'!Q26*'Finisher Model - NE Metric'!Q26),"")</f>
        <v>968.00084585963305</v>
      </c>
      <c r="F11" s="9">
        <f>IFERROR(651.36+531.33*'Finisher Model - NE Metric'!Q27-216.9*('Finisher Model - NE Metric'!Q27*'Finisher Model - NE Metric'!Q27),"")</f>
        <v>975.82504332149961</v>
      </c>
      <c r="G11" s="9" t="str">
        <f>IFERROR(651.36+531.33*'Finisher Model - NE Metric'!Q28-216.9*('Finisher Model - NE Metric'!Q28*'Finisher Model - NE Metric'!Q28),"")</f>
        <v/>
      </c>
      <c r="H11" s="23"/>
      <c r="J11" s="1" t="s">
        <v>43</v>
      </c>
      <c r="K11" s="20">
        <f>IF('Finisher Model - NE Metric'!$E$11=2,L11,IF('Finisher Model - NE Metric'!$E$11=3,M11,IF('Finisher Model - NE Metric'!$E$11=4,N11,IF('Finisher Model - NE Metric'!$E$11=5,O11,IF('Finisher Model - NE Metric'!$E$11=6,P11,"")))))</f>
        <v>88.362846250193556</v>
      </c>
      <c r="L11" s="16">
        <f>SUM(B21:C21)</f>
        <v>38.344791667069387</v>
      </c>
      <c r="M11" s="16">
        <f>SUM(B21:D21)</f>
        <v>50.824916755944855</v>
      </c>
      <c r="N11" s="1">
        <f>SUM(B21:E21)</f>
        <v>68.265740540399065</v>
      </c>
      <c r="O11" s="1">
        <f>SUM(B21:F21)</f>
        <v>88.362846250193556</v>
      </c>
      <c r="P11" s="16" t="e">
        <f>SUM(B21:G21)</f>
        <v>#VALUE!</v>
      </c>
    </row>
    <row r="12" spans="1:16">
      <c r="A12" t="s">
        <v>57</v>
      </c>
      <c r="B12" s="9">
        <f>IFERROR(338.34+108.98*'Finisher Model - NE Metric'!Q23-46.7864*('Finisher Model - NE Metric'!Q23*'Finisher Model - NE Metric'!Q23),"")</f>
        <v>401.63691802871244</v>
      </c>
      <c r="C12" s="9">
        <f>IFERROR(338.34+108.98*'Finisher Model - NE Metric'!Q24-46.7864*('Finisher Model - NE Metric'!Q24*'Finisher Model - NE Metric'!Q24),"")</f>
        <v>401.78805795708331</v>
      </c>
      <c r="D12" s="9">
        <f>IFERROR(338.34+108.98*'Finisher Model - NE Metric'!Q25-46.7864*('Finisher Model - NE Metric'!Q25*'Finisher Model - NE Metric'!Q25),"")</f>
        <v>401.8019376979658</v>
      </c>
      <c r="E12" s="9">
        <f>IFERROR(338.34+108.98*'Finisher Model - NE Metric'!Q26-46.7864*('Finisher Model - NE Metric'!Q26*'Finisher Model - NE Metric'!Q26),"")</f>
        <v>400.87567751839651</v>
      </c>
      <c r="F12" s="9">
        <f>IFERROR(338.34+108.98*'Finisher Model - NE Metric'!Q27-46.7864*('Finisher Model - NE Metric'!Q27*'Finisher Model - NE Metric'!Q27),"")</f>
        <v>401.80073911893442</v>
      </c>
      <c r="G12" s="9" t="str">
        <f>IFERROR(338.34+108.98*'Finisher Model - NE Metric'!Q28-46.7864*('Finisher Model - NE Metric'!Q28*'Finisher Model - NE Metric'!Q28),"")</f>
        <v/>
      </c>
      <c r="J12" s="13" t="s">
        <v>50</v>
      </c>
      <c r="K12" s="7">
        <f>IF('Finisher Model - NE Metric'!$E$11=2,L12,IF('Finisher Model - NE Metric'!$E$11=3,M12,IF('Finisher Model - NE Metric'!$E$11=4,N12,IF('Finisher Model - NE Metric'!$E$11=5,O12,IF('Finisher Model - NE Metric'!$E$11=6,P12,"")))))</f>
        <v>131.67655878169069</v>
      </c>
      <c r="L12" s="12">
        <f>SUM(B19:C19,'Finisher Model - NE Metric'!C15)*'Finisher Model - NE Metric'!E7</f>
        <v>76.197430128212801</v>
      </c>
      <c r="M12" s="12">
        <f>SUM(B19:D19,'Finisher Model - NE Metric'!C15)*'Finisher Model - NE Metric'!E7</f>
        <v>91.464745156348442</v>
      </c>
      <c r="N12" s="12">
        <f>SUM(B19:E19,'Finisher Model - NE Metric'!C15)*'Finisher Model - NE Metric'!E7</f>
        <v>111.33538121428394</v>
      </c>
      <c r="O12" s="12">
        <f>SUM(B19:F19,'Finisher Model - NE Metric'!C15)*'Finisher Model - NE Metric'!E7</f>
        <v>131.67655878169069</v>
      </c>
      <c r="P12" s="12" t="e">
        <f>SUM(B19:G19,'Finisher Model - NE Metric'!C15)*'Finisher Model - NE Metric'!E7</f>
        <v>#VALUE!</v>
      </c>
    </row>
    <row r="13" spans="1:16">
      <c r="A13" t="s">
        <v>58</v>
      </c>
      <c r="B13" s="6">
        <f t="shared" ref="B13:G13" si="2">(B11/B12)*1000</f>
        <v>2431.9317346634903</v>
      </c>
      <c r="C13" s="6">
        <f t="shared" si="2"/>
        <v>2427.7785339692291</v>
      </c>
      <c r="D13" s="6">
        <f t="shared" si="2"/>
        <v>2428.8844934814633</v>
      </c>
      <c r="E13" s="6">
        <f t="shared" si="2"/>
        <v>2414.7158337268061</v>
      </c>
      <c r="F13" s="6">
        <f t="shared" si="2"/>
        <v>2428.6292888890184</v>
      </c>
      <c r="G13" s="6" t="e">
        <f t="shared" si="2"/>
        <v>#VALUE!</v>
      </c>
      <c r="J13" s="17" t="s">
        <v>44</v>
      </c>
      <c r="K13" s="7">
        <f>IF('Finisher Model - NE Metric'!$E$11=2,L13,IF('Finisher Model - NE Metric'!$E$11=3,M13,IF('Finisher Model - NE Metric'!$E$11=4,N13,IF('Finisher Model - NE Metric'!$E$11=5,O13,IF('Finisher Model - NE Metric'!$E$11=6,P13,"")))))</f>
        <v>56.695466446520598</v>
      </c>
      <c r="L13" s="14">
        <f>L12-L10</f>
        <v>44.392417099732299</v>
      </c>
      <c r="M13" s="14">
        <f>M12-M10</f>
        <v>49.05686962175362</v>
      </c>
      <c r="N13" s="14">
        <f t="shared" ref="N13:O13" si="3">N12-N10</f>
        <v>53.949981733402637</v>
      </c>
      <c r="O13" s="14">
        <f t="shared" si="3"/>
        <v>56.695466446520598</v>
      </c>
      <c r="P13" s="14" t="e">
        <f>P12-P10</f>
        <v>#VALUE!</v>
      </c>
    </row>
    <row r="14" spans="1:16" ht="16.5" thickBot="1">
      <c r="A14" t="s">
        <v>60</v>
      </c>
      <c r="B14" s="7">
        <f>B13/B11</f>
        <v>2.4898109588832953</v>
      </c>
      <c r="C14" s="7">
        <f t="shared" ref="C14:G14" si="4">C13/C11</f>
        <v>2.4888743709421401</v>
      </c>
      <c r="D14" s="7">
        <f t="shared" si="4"/>
        <v>2.4887883959178394</v>
      </c>
      <c r="E14" s="7">
        <f t="shared" si="4"/>
        <v>2.4945389707613508</v>
      </c>
      <c r="F14" s="7">
        <f t="shared" si="4"/>
        <v>2.4887958200196256</v>
      </c>
      <c r="G14" s="7" t="e">
        <f t="shared" si="4"/>
        <v>#VALUE!</v>
      </c>
      <c r="J14" s="1" t="s">
        <v>45</v>
      </c>
      <c r="K14" s="20">
        <f>IF('Finisher Model - NE Metric'!$E$11=2,L14,IF('Finisher Model - NE Metric'!$E$11=3,M14,IF('Finisher Model - NE Metric'!$E$11=4,N14,IF('Finisher Model - NE Metric'!$E$11=5,O14,IF('Finisher Model - NE Metric'!$E$11=6,P14,"")))))</f>
        <v>43.313712531497131</v>
      </c>
      <c r="L14" s="16">
        <f>L12-L11</f>
        <v>37.852638461143414</v>
      </c>
      <c r="M14" s="16">
        <f>M12-M11</f>
        <v>40.639828400403587</v>
      </c>
      <c r="N14" s="16">
        <f t="shared" ref="N14:O14" si="5">N12-N11</f>
        <v>43.069640673884876</v>
      </c>
      <c r="O14" s="16">
        <f t="shared" si="5"/>
        <v>43.313712531497131</v>
      </c>
      <c r="P14" s="16" t="e">
        <f>P12-P11</f>
        <v>#VALUE!</v>
      </c>
    </row>
    <row r="15" spans="1:16">
      <c r="A15" t="s">
        <v>73</v>
      </c>
      <c r="B15" s="43">
        <f>IF('Finisher Model - NE Metric'!E11=2,SUMPRODUCT(B14:C14,B16:C16)/SUM(B16:C16),IF('Finisher Model - NE Metric'!E11=3,SUMPRODUCT(B14:D14,B16:D16)/SUM(B16:D16),IF('Finisher Model - NE Metric'!E11=4,SUMPRODUCT(B14:E14,B16:E16)/SUM(B16:E16),IF('Finisher Model - NE Metric'!E11=5,SUMPRODUCT(B14:F14,B16:F16)/SUM(B16:F16),IF('Finisher Model - NE Metric'!E11=6,SUMPRODUCT(B14:G14,B16:G16)/SUM(B16:G16),"")))))</f>
        <v>2.4901296607587589</v>
      </c>
      <c r="C15" s="7"/>
      <c r="D15" s="7"/>
      <c r="E15" s="7"/>
      <c r="F15" s="7"/>
      <c r="G15" s="7"/>
      <c r="J15" s="46" t="s">
        <v>74</v>
      </c>
      <c r="K15" s="237">
        <f>IF('Finisher Model - NE Metric'!$E$11=2,L15,IF('Finisher Model - NE Metric'!$E$11=3,M15,IF('Finisher Model - NE Metric'!$E$11=4,N15,IF('Finisher Model - NE Metric'!$E$11=5,O15,IF('Finisher Model - NE Metric'!$E$11=6,P15,"")))))</f>
        <v>97.202965241343733</v>
      </c>
      <c r="L15" s="10">
        <f>C25</f>
        <v>97.202965241343733</v>
      </c>
      <c r="M15" s="10">
        <f>D25</f>
        <v>97.202965241343733</v>
      </c>
      <c r="N15" s="10">
        <f>E25</f>
        <v>97.202965241343733</v>
      </c>
      <c r="O15" s="10">
        <f>F25</f>
        <v>97.202965241343733</v>
      </c>
      <c r="P15" s="10">
        <f>G25</f>
        <v>97.202965241343733</v>
      </c>
    </row>
    <row r="16" spans="1:16">
      <c r="A16" t="s">
        <v>39</v>
      </c>
      <c r="B16" s="22">
        <f>'Current Performance - NE '!B16</f>
        <v>28.492230885192683</v>
      </c>
      <c r="C16" s="22">
        <f>'Current Performance - NE '!C16</f>
        <v>26.005924436381367</v>
      </c>
      <c r="D16" s="22">
        <f>'Current Performance - NE '!D16</f>
        <v>15.643854856342923</v>
      </c>
      <c r="E16" s="22">
        <f>'Current Performance - NE '!E16</f>
        <v>20.527498651397746</v>
      </c>
      <c r="F16" s="22">
        <f>'Current Performance - NE '!F16</f>
        <v>20.845107129214195</v>
      </c>
      <c r="G16" s="22" t="e">
        <f>'Current Performance - NE '!G16</f>
        <v>#VALUE!</v>
      </c>
      <c r="H16" s="11">
        <f>IF('Finisher Model - NE Metric'!E11=2,SUM(B16:C16),IF('Finisher Model - NE Metric'!E11=3,SUM(B16:D16),IF('Finisher Model - NE Metric'!E11=4,SUM(B16:E16),IF('Finisher Model - NE Metric'!E11=5,SUM(B16:F16),IF('Finisher Model - NE Metric'!E11=6,SUM(B16:G16),"")))))</f>
        <v>111.51461595852892</v>
      </c>
      <c r="J16" t="s">
        <v>51</v>
      </c>
      <c r="K16" s="7">
        <f>IF('Finisher Model - NE Metric'!$E$11=2,L16,IF('Finisher Model - NE Metric'!$E$11=3,M16,IF('Finisher Model - NE Metric'!$E$11=4,N16,IF('Finisher Model - NE Metric'!$E$11=5,O16,IF('Finisher Model - NE Metric'!$E$11=6,P16,"")))))</f>
        <v>145.80444786201559</v>
      </c>
      <c r="L16">
        <f>SUM(L15*'Finisher Model - NE Metric'!$E$8)</f>
        <v>145.80444786201559</v>
      </c>
      <c r="M16">
        <f>SUM(M15*'Finisher Model - NE Metric'!$E$8)</f>
        <v>145.80444786201559</v>
      </c>
      <c r="N16">
        <f>SUM(N15*'Finisher Model - NE Metric'!$E$8)</f>
        <v>145.80444786201559</v>
      </c>
      <c r="O16">
        <f>SUM(O15*'Finisher Model - NE Metric'!$E$8)</f>
        <v>145.80444786201559</v>
      </c>
      <c r="P16">
        <f>SUM(P15*'Finisher Model - NE Metric'!$E$8)</f>
        <v>145.80444786201559</v>
      </c>
    </row>
    <row r="17" spans="1:16">
      <c r="A17" t="s">
        <v>176</v>
      </c>
      <c r="B17" s="25">
        <f>CONVERT(D43,"lbm","kg")</f>
        <v>50.033257978944533</v>
      </c>
      <c r="C17" s="25">
        <f>CONVERT(D44,"lbm","kg")</f>
        <v>56.466595296789045</v>
      </c>
      <c r="D17" s="25">
        <f>CONVERT(D45,"lbm","kg")</f>
        <v>38.559728520632255</v>
      </c>
      <c r="E17" s="25">
        <f>CONVERT(D46,"lbm","kg")</f>
        <v>56.872704593828338</v>
      </c>
      <c r="F17" s="25">
        <f>CONVERT(D47,"lbm","kg")</f>
        <v>68.686436061286571</v>
      </c>
      <c r="G17" s="25" t="e">
        <f>CONVERT(D48,"lbm","kg")</f>
        <v>#VALUE!</v>
      </c>
      <c r="H17" s="11"/>
      <c r="J17" t="s">
        <v>52</v>
      </c>
      <c r="K17" s="7">
        <f>IF('Finisher Model - NE Metric'!$E$11=2,L17,IF('Finisher Model - NE Metric'!$E$11=3,M17,IF('Finisher Model - NE Metric'!$E$11=4,N17,IF('Finisher Model - NE Metric'!$E$11=5,O17,IF('Finisher Model - NE Metric'!$E$11=6,P17,"")))))</f>
        <v>70.823355526845504</v>
      </c>
      <c r="L17" s="11">
        <f>L16-L10</f>
        <v>113.99943483353509</v>
      </c>
      <c r="M17" s="11">
        <f>M16-M10</f>
        <v>103.39657232742077</v>
      </c>
      <c r="N17">
        <f>N16-N10</f>
        <v>88.419048381134289</v>
      </c>
      <c r="O17">
        <f>O16-O10</f>
        <v>70.823355526845504</v>
      </c>
      <c r="P17" s="11" t="e">
        <f>P16-P10</f>
        <v>#VALUE!</v>
      </c>
    </row>
    <row r="18" spans="1:16" ht="16.5" thickBot="1">
      <c r="A18" t="s">
        <v>33</v>
      </c>
      <c r="B18" s="6">
        <f>(B17*(B9/907))</f>
        <v>15.430322956858177</v>
      </c>
      <c r="C18" s="6">
        <f t="shared" ref="C18:E18" si="6">(C17*(C9/907))</f>
        <v>16.374690071622329</v>
      </c>
      <c r="D18" s="6">
        <f t="shared" si="6"/>
        <v>10.602862506114315</v>
      </c>
      <c r="E18" s="6">
        <f t="shared" si="6"/>
        <v>14.977523946286482</v>
      </c>
      <c r="F18" s="6">
        <f>(F17*(F9/907))</f>
        <v>17.595692854288789</v>
      </c>
      <c r="G18" s="6" t="e">
        <f>(G17*(G9/907))</f>
        <v>#VALUE!</v>
      </c>
      <c r="H18" s="11"/>
      <c r="J18" s="1" t="s">
        <v>54</v>
      </c>
      <c r="K18" s="20">
        <f>IF('Finisher Model - NE Metric'!$E$11=2,L18,IF('Finisher Model - NE Metric'!$E$11=3,M18,IF('Finisher Model - NE Metric'!$E$11=4,N18,IF('Finisher Model - NE Metric'!$E$11=5,O18,IF('Finisher Model - NE Metric'!$E$11=6,P18,"")))))</f>
        <v>57.441601611822037</v>
      </c>
      <c r="L18" s="16">
        <f>L16-L11</f>
        <v>107.45965619494621</v>
      </c>
      <c r="M18" s="16">
        <f>M16-M11</f>
        <v>94.979531106070738</v>
      </c>
      <c r="N18" s="1">
        <f>N16-N11</f>
        <v>77.538707321616528</v>
      </c>
      <c r="O18" s="1">
        <f>O16-O11</f>
        <v>57.441601611822037</v>
      </c>
      <c r="P18" s="16" t="e">
        <f>P16-P11</f>
        <v>#VALUE!</v>
      </c>
    </row>
    <row r="19" spans="1:16">
      <c r="A19" t="s">
        <v>174</v>
      </c>
      <c r="B19" s="6">
        <f>B11/1000*B16</f>
        <v>27.829888142245579</v>
      </c>
      <c r="C19" s="6">
        <f t="shared" ref="C19:G19" si="7">C11/1000*C16</f>
        <v>25.367541985967225</v>
      </c>
      <c r="D19" s="6">
        <f t="shared" si="7"/>
        <v>15.267315028135634</v>
      </c>
      <c r="E19" s="6">
        <f t="shared" si="7"/>
        <v>19.870636057935496</v>
      </c>
      <c r="F19" s="6">
        <f t="shared" si="7"/>
        <v>20.341177567406742</v>
      </c>
      <c r="G19" s="6" t="e">
        <f t="shared" si="7"/>
        <v>#VALUE!</v>
      </c>
      <c r="H19" s="10">
        <f>IF('Finisher Model - NE Metric'!E11=2,SUM(B19:C19)+'Finisher Model - NE Metric'!C15,IF('Finisher Model - NE Metric'!E11=3,SUM(B19:D19)+'Finisher Model - NE Metric'!C15,IF('Finisher Model - NE Metric'!E11=4,SUM(B19:E19)+'Finisher Model - NE Metric'!C15,IF('Finisher Model - NE Metric'!E11=5,SUM(B19:F19)+'Finisher Model - NE Metric'!C15,IF('Finisher Model - NE Metric'!E11=6,SUM(B19:G19)+'Finisher Model - NE Metric'!C15,"")))))</f>
        <v>131.67655878169069</v>
      </c>
      <c r="I19" s="6"/>
    </row>
    <row r="20" spans="1:16">
      <c r="A20" t="s">
        <v>181</v>
      </c>
      <c r="B20" s="7">
        <f>B18/((B11/1000)*B16)</f>
        <v>0.55445149035417973</v>
      </c>
      <c r="C20" s="74">
        <f t="shared" ref="C20:G20" si="8">C18/((C11/1000)*C16)</f>
        <v>0.64549770256339589</v>
      </c>
      <c r="D20" s="74">
        <f t="shared" si="8"/>
        <v>0.69448115052153225</v>
      </c>
      <c r="E20" s="74">
        <f t="shared" si="8"/>
        <v>0.75375161130310619</v>
      </c>
      <c r="F20" s="74">
        <f t="shared" si="8"/>
        <v>0.8650282313292853</v>
      </c>
      <c r="G20" s="74" t="e">
        <f t="shared" si="8"/>
        <v>#VALUE!</v>
      </c>
    </row>
    <row r="21" spans="1:16">
      <c r="A21" t="s">
        <v>35</v>
      </c>
      <c r="B21" s="7">
        <f>B18+(B16*'Finisher Model - NE Metric'!$E$10)</f>
        <v>18.849390663081298</v>
      </c>
      <c r="C21" s="7">
        <f>C18+(C16*'Finisher Model - NE Metric'!$E$10)</f>
        <v>19.495401003988093</v>
      </c>
      <c r="D21" s="7">
        <f>D18+(D16*'Finisher Model - NE Metric'!$E$10)</f>
        <v>12.480125088875466</v>
      </c>
      <c r="E21" s="7">
        <f>E18+(E16*'Finisher Model - NE Metric'!$E$10)</f>
        <v>17.44082378445421</v>
      </c>
      <c r="F21" s="7">
        <f>F18+(F16*'Finisher Model - NE Metric'!$E$10)</f>
        <v>20.097105709794491</v>
      </c>
      <c r="G21" s="7" t="e">
        <f>G18+(G16*'Finisher Model - NE Metric'!$E$10)</f>
        <v>#VALUE!</v>
      </c>
      <c r="I21" s="28"/>
      <c r="K21" s="7"/>
      <c r="L21" s="7"/>
    </row>
    <row r="22" spans="1:16">
      <c r="A22" t="s">
        <v>36</v>
      </c>
      <c r="B22" s="7">
        <f>B19*'Finisher Model - NE Metric'!$E$7</f>
        <v>27.829888142245579</v>
      </c>
      <c r="C22" s="7">
        <f>C19*'Finisher Model - NE Metric'!$E$7</f>
        <v>25.367541985967225</v>
      </c>
      <c r="D22" s="7">
        <f>D19*'Finisher Model - NE Metric'!$E$7</f>
        <v>15.267315028135634</v>
      </c>
      <c r="E22" s="7">
        <f>E19*'Finisher Model - NE Metric'!$E$7</f>
        <v>19.870636057935496</v>
      </c>
      <c r="F22" s="7">
        <f>F19*'Finisher Model - NE Metric'!$E$7</f>
        <v>20.341177567406742</v>
      </c>
      <c r="G22" s="7" t="e">
        <f>G19*'Finisher Model - NE Metric'!$E$7</f>
        <v>#VALUE!</v>
      </c>
      <c r="K22" s="7"/>
      <c r="L22" s="7"/>
    </row>
    <row r="23" spans="1:16">
      <c r="A23" t="s">
        <v>37</v>
      </c>
      <c r="B23" s="7">
        <f t="shared" ref="B23:G23" si="9">B22-B18</f>
        <v>12.399565185387402</v>
      </c>
      <c r="C23" s="7">
        <f t="shared" si="9"/>
        <v>8.9928519143448966</v>
      </c>
      <c r="D23" s="7">
        <f t="shared" si="9"/>
        <v>4.6644525220213193</v>
      </c>
      <c r="E23" s="7">
        <f t="shared" si="9"/>
        <v>4.8931121116490139</v>
      </c>
      <c r="F23" s="7">
        <f t="shared" si="9"/>
        <v>2.7454847131179534</v>
      </c>
      <c r="G23" s="7" t="e">
        <f t="shared" si="9"/>
        <v>#VALUE!</v>
      </c>
    </row>
    <row r="24" spans="1:16">
      <c r="A24" t="s">
        <v>38</v>
      </c>
      <c r="B24" s="7">
        <f t="shared" ref="B24:G24" si="10">B22-B21</f>
        <v>8.9804974791642813</v>
      </c>
      <c r="C24" s="7">
        <f t="shared" si="10"/>
        <v>5.8721409819791326</v>
      </c>
      <c r="D24" s="7">
        <f t="shared" si="10"/>
        <v>2.787189939260168</v>
      </c>
      <c r="E24" s="7">
        <f t="shared" si="10"/>
        <v>2.4298122734812857</v>
      </c>
      <c r="F24" s="7">
        <f t="shared" si="10"/>
        <v>0.24407185761225136</v>
      </c>
      <c r="G24" s="7" t="e">
        <f t="shared" si="10"/>
        <v>#VALUE!</v>
      </c>
    </row>
    <row r="25" spans="1:16">
      <c r="A25" t="s">
        <v>160</v>
      </c>
      <c r="B25" s="6">
        <f>$H$19*IF('Finisher Model - NE Metric'!$E$9&lt;76,'FT - Projected Performance - NE'!B33/100,'FT - Projected Performance - NE'!$B$34/100)</f>
        <v>97.202965241343733</v>
      </c>
      <c r="C25" s="6">
        <f>$H$19*IF('Finisher Model - NE Metric'!$E$9&lt;76,'FT - Projected Performance - NE'!C33/100,'FT - Projected Performance - NE'!$B$34/100)</f>
        <v>97.202965241343733</v>
      </c>
      <c r="D25" s="6">
        <f>$H$19*IF('Finisher Model - NE Metric'!$E$9&lt;76,'FT - Projected Performance - NE'!D33/100,'FT - Projected Performance - NE'!$B$34/100)</f>
        <v>97.202965241343733</v>
      </c>
      <c r="E25" s="6">
        <f>$H$19*IF('Finisher Model - NE Metric'!$E$9&lt;76,'FT - Projected Performance - NE'!E33/100,'FT - Projected Performance - NE'!$B$34/100)</f>
        <v>97.202965241343733</v>
      </c>
      <c r="F25" s="6">
        <f>$H$19*IF('Finisher Model - NE Metric'!$E$9&lt;76,'FT - Projected Performance - NE'!F33/100,'FT - Projected Performance - NE'!$B$34/100)</f>
        <v>97.202965241343733</v>
      </c>
      <c r="G25" s="6">
        <f>$H$19*IF('Finisher Model - NE Metric'!$E$9&lt;76,'FT - Projected Performance - NE'!G33/100,'FT - Projected Performance - NE'!$B$34/100)</f>
        <v>97.202965241343733</v>
      </c>
    </row>
    <row r="26" spans="1:16">
      <c r="A26" t="s">
        <v>159</v>
      </c>
      <c r="B26" s="74">
        <f>(VLOOKUP($H$19,$C$55:$I$94,7,TRUE))*100</f>
        <v>75.009910074258968</v>
      </c>
      <c r="C26" s="74">
        <f t="shared" ref="C26:G26" si="11">(VLOOKUP($H$19,$C$55:$I$94,7,TRUE))*100</f>
        <v>75.009910074258968</v>
      </c>
      <c r="D26" s="74">
        <f t="shared" si="11"/>
        <v>75.009910074258968</v>
      </c>
      <c r="E26" s="74">
        <f t="shared" si="11"/>
        <v>75.009910074258968</v>
      </c>
      <c r="F26" s="74">
        <f t="shared" si="11"/>
        <v>75.009910074258968</v>
      </c>
      <c r="G26" s="74">
        <f t="shared" si="11"/>
        <v>75.009910074258968</v>
      </c>
    </row>
    <row r="27" spans="1:16">
      <c r="A27" t="s">
        <v>90</v>
      </c>
      <c r="B27" s="6">
        <f>'Finisher Model - NE Metric'!E9</f>
        <v>74</v>
      </c>
      <c r="C27" s="6"/>
      <c r="D27" s="6"/>
      <c r="E27" s="6"/>
      <c r="F27" s="6"/>
      <c r="G27" s="6"/>
    </row>
    <row r="28" spans="1:16">
      <c r="A28" t="s">
        <v>91</v>
      </c>
      <c r="B28" s="53">
        <f>B27/B26</f>
        <v>0.98653631135860353</v>
      </c>
      <c r="C28" s="6"/>
      <c r="D28" s="6"/>
      <c r="E28" s="6"/>
      <c r="F28" s="6"/>
      <c r="G28" s="6"/>
      <c r="J28" t="s">
        <v>149</v>
      </c>
    </row>
    <row r="29" spans="1:16">
      <c r="A29" t="s">
        <v>164</v>
      </c>
      <c r="B29" s="53">
        <f>'Finisher Model - NE Metric'!Q23</f>
        <v>1.224061261072348</v>
      </c>
      <c r="C29" s="53">
        <f>'Finisher Model - NE Metric'!Q24</f>
        <v>1.1473712615541329</v>
      </c>
      <c r="D29" s="53">
        <f>'Finisher Model - NE Metric'!Q25</f>
        <v>1.1632211970615054</v>
      </c>
      <c r="E29" s="53">
        <f>'Finisher Model - NE Metric'!Q26</f>
        <v>1.0239433068037569</v>
      </c>
      <c r="F29" s="53">
        <f>'Finisher Model - NE Metric'!Q27</f>
        <v>1.1593941728735111</v>
      </c>
      <c r="G29" s="53" t="str">
        <f>'Finisher Model - NE Metric'!Q28</f>
        <v/>
      </c>
      <c r="H29">
        <f>IF('Finisher Model - NE Metric'!E11=2,SUMPRODUCT(B29:C29,B16:C16)/SUM(B16:C16),IF('Finisher Model - NE Metric'!E11=3,SUMPRODUCT(B29:D29,B16:D16)/SUM(B16:D16),IF('Finisher Model - NE Metric'!E11=4,SUMPRODUCT(B29:E29,B16:E16)/SUM(B16:E16),IF('Finisher Model - NE Metric'!E11=5,SUMPRODUCT(B29:F29,B16:F16)/SUM(B16:F16),IF('Finisher Model - NE Metric'!E11=6,SUMPRODUCT(B29:G29,B16:G16)/SUM(B16:G16),"")))))</f>
        <v>1.1487161521938332</v>
      </c>
    </row>
    <row r="30" spans="1:16">
      <c r="A30" t="s">
        <v>162</v>
      </c>
      <c r="B30" s="6">
        <f>73.859-1.19192*H29</f>
        <v>72.489822243877114</v>
      </c>
      <c r="C30" s="6"/>
      <c r="D30" s="6"/>
      <c r="E30" s="6"/>
      <c r="F30" s="6"/>
      <c r="G30" s="6"/>
      <c r="J30" t="s">
        <v>150</v>
      </c>
    </row>
    <row r="31" spans="1:16">
      <c r="A31" t="s">
        <v>154</v>
      </c>
      <c r="B31" s="6">
        <f>73.859-1.19192*1</f>
        <v>72.667079999999999</v>
      </c>
      <c r="C31" s="6"/>
      <c r="D31" s="6"/>
      <c r="E31" s="6"/>
      <c r="F31" s="6"/>
      <c r="G31" s="6"/>
    </row>
    <row r="32" spans="1:16">
      <c r="A32" t="s">
        <v>156</v>
      </c>
      <c r="B32" s="53">
        <f>B30/B31</f>
        <v>0.99756068695586941</v>
      </c>
      <c r="C32" s="3"/>
      <c r="D32" s="3"/>
      <c r="E32" s="3"/>
      <c r="F32" s="3"/>
      <c r="G32" s="3"/>
    </row>
    <row r="33" spans="1:7">
      <c r="A33" t="s">
        <v>157</v>
      </c>
      <c r="B33" s="68">
        <f>(VLOOKUP($H$19,$C$55:$K$94,9,TRUE))</f>
        <v>73.819490834734339</v>
      </c>
      <c r="C33" s="74">
        <f t="shared" ref="C33:G33" si="12">(VLOOKUP($H$19,$C$55:$K$94,9,TRUE))</f>
        <v>73.819490834734339</v>
      </c>
      <c r="D33" s="74">
        <f t="shared" si="12"/>
        <v>73.819490834734339</v>
      </c>
      <c r="E33" s="74">
        <f t="shared" si="12"/>
        <v>73.819490834734339</v>
      </c>
      <c r="F33" s="74">
        <f t="shared" si="12"/>
        <v>73.819490834734339</v>
      </c>
      <c r="G33" s="74">
        <f t="shared" si="12"/>
        <v>73.819490834734339</v>
      </c>
    </row>
    <row r="34" spans="1:7">
      <c r="A34" t="s">
        <v>231</v>
      </c>
      <c r="B34" s="53">
        <f>'Current Performance - NE '!B36</f>
        <v>73.401203128858057</v>
      </c>
      <c r="C34" s="74"/>
      <c r="D34" s="74"/>
      <c r="E34" s="74"/>
      <c r="F34" s="74"/>
      <c r="G34" s="74"/>
    </row>
    <row r="35" spans="1:7">
      <c r="B35" s="74"/>
      <c r="C35" s="74"/>
      <c r="D35" s="74"/>
      <c r="E35" s="74"/>
      <c r="F35" s="74"/>
      <c r="G35" s="74"/>
    </row>
    <row r="36" spans="1:7" ht="16.5" thickBot="1"/>
    <row r="37" spans="1:7" ht="16.5" thickBot="1">
      <c r="B37" s="297" t="s">
        <v>61</v>
      </c>
      <c r="C37" s="298"/>
      <c r="D37" s="298"/>
      <c r="E37" s="299"/>
    </row>
    <row r="38" spans="1:7" ht="16.5" thickBot="1">
      <c r="B38" s="287" t="s">
        <v>62</v>
      </c>
      <c r="C38" s="288"/>
      <c r="D38" s="288"/>
      <c r="E38" s="289"/>
    </row>
    <row r="39" spans="1:7" ht="16.5" thickBot="1">
      <c r="B39" s="34" t="s">
        <v>63</v>
      </c>
      <c r="C39" s="38" t="s">
        <v>64</v>
      </c>
      <c r="D39" s="38" t="s">
        <v>65</v>
      </c>
      <c r="E39" s="32"/>
    </row>
    <row r="40" spans="1:7" ht="16.5" thickBot="1">
      <c r="B40" s="39">
        <f>CONVERT('Finisher Model - NE Metric'!C15,"kg","lbm")</f>
        <v>50.706320302521839</v>
      </c>
      <c r="C40" s="39">
        <f>CONVERT(H19,"kg","lbm")</f>
        <v>290.29712025731533</v>
      </c>
      <c r="D40" s="38">
        <f>B15</f>
        <v>2.4901296607587589</v>
      </c>
      <c r="E40" s="32"/>
    </row>
    <row r="41" spans="1:7">
      <c r="B41" s="34"/>
      <c r="C41" s="31"/>
      <c r="D41" s="31"/>
      <c r="E41" s="40"/>
    </row>
    <row r="42" spans="1:7">
      <c r="B42" s="34" t="s">
        <v>63</v>
      </c>
      <c r="C42" s="31" t="s">
        <v>64</v>
      </c>
      <c r="D42" s="41" t="s">
        <v>66</v>
      </c>
      <c r="E42" s="35">
        <f>IF(B43=0,F42,((0.00463*B43^2 + 1.68*B43 - 22.05)/(((0.00463*C40^2 + 1.68*C40 - 22.05)-(0.00463*B40^2 + 1.68*B40 - 22.05))/(C40-B40))*D40))</f>
        <v>57.339840545949855</v>
      </c>
    </row>
    <row r="43" spans="1:7">
      <c r="A43">
        <v>1</v>
      </c>
      <c r="B43" s="30">
        <f>CONVERT('Finisher Model - NE Metric'!C15,"kg","lbm")</f>
        <v>50.706320302521839</v>
      </c>
      <c r="C43" s="36">
        <f>CONVERT('Finisher Model - NE Metric'!D15,"kg","lbm")</f>
        <v>110.23113109243879</v>
      </c>
      <c r="D43" s="42">
        <f>IF(C43="","",(E43-E42))</f>
        <v>110.30445238517687</v>
      </c>
      <c r="E43" s="35">
        <f t="shared" ref="E43:E48" si="13">IF(B44="","",((0.00463*B44^2 + 1.68*B44 - 22.05)/(((0.00463*$C$40^2 + 1.68*$C$40 - 22.05)-(0.00463*$B$40^2 + 1.68*$B$40 - 22.05))/($C$40-$B$40))*$D$40))</f>
        <v>167.64429293112673</v>
      </c>
    </row>
    <row r="44" spans="1:7">
      <c r="A44">
        <v>2</v>
      </c>
      <c r="B44" s="30">
        <f t="shared" ref="B44:B46" si="14">C43</f>
        <v>110.23113109243879</v>
      </c>
      <c r="C44" s="36">
        <f>CONVERT(IF('Finisher Model - NE Metric'!E11=2,H19,'Finisher Model - NE Metric'!D16),"kg","lbm")</f>
        <v>165.34669663865816</v>
      </c>
      <c r="D44" s="42">
        <f t="shared" ref="D44:D47" si="15">IF(C44="","",(E44-E43))</f>
        <v>124.4875333700808</v>
      </c>
      <c r="E44" s="35">
        <f t="shared" si="13"/>
        <v>292.13182630120752</v>
      </c>
    </row>
    <row r="45" spans="1:7">
      <c r="A45">
        <v>3</v>
      </c>
      <c r="B45" s="30">
        <f t="shared" si="14"/>
        <v>165.34669663865816</v>
      </c>
      <c r="C45" s="36">
        <f>CONVERT(IF('Finisher Model - NE Metric'!E11=3,H19,'Finisher Model - NE Metric'!D17),"kg","lbm")</f>
        <v>198.41603596638981</v>
      </c>
      <c r="D45" s="42">
        <f t="shared" si="15"/>
        <v>85.009649788933302</v>
      </c>
      <c r="E45" s="35">
        <f t="shared" si="13"/>
        <v>377.14147609014083</v>
      </c>
    </row>
    <row r="46" spans="1:7">
      <c r="A46">
        <v>4</v>
      </c>
      <c r="B46" s="30">
        <f t="shared" si="14"/>
        <v>198.41603596638981</v>
      </c>
      <c r="C46" s="36">
        <f>CONVERT(IF('Finisher Model - NE Metric'!E11=4,H19,'Finisher Model - NE Metric'!D18),"kg","lbm")</f>
        <v>242.50848840336533</v>
      </c>
      <c r="D46" s="42">
        <f>IF(C46="","",(E46-E45))</f>
        <v>125.38285111327673</v>
      </c>
      <c r="E46" s="35">
        <f t="shared" si="13"/>
        <v>502.52432720341756</v>
      </c>
    </row>
    <row r="47" spans="1:7">
      <c r="A47">
        <v>5</v>
      </c>
      <c r="B47" s="30">
        <f>C46</f>
        <v>242.50848840336533</v>
      </c>
      <c r="C47" s="36">
        <f>CONVERT(IF('Finisher Model - NE Metric'!E11=5,H19,'Finisher Model - NE Metric'!D19),"kg","lbm")</f>
        <v>290.29712025731533</v>
      </c>
      <c r="D47" s="42">
        <f t="shared" si="15"/>
        <v>151.42767075488189</v>
      </c>
      <c r="E47" s="35">
        <f t="shared" si="13"/>
        <v>653.95199795829944</v>
      </c>
    </row>
    <row r="48" spans="1:7" ht="16.5" thickBot="1">
      <c r="A48">
        <v>6</v>
      </c>
      <c r="B48" s="37">
        <f>C47</f>
        <v>290.29712025731533</v>
      </c>
      <c r="C48" s="60" t="e">
        <f>CONVERT(IF('Finisher Model - NE Metric'!E11=6,H19,""),"kg","lbm")</f>
        <v>#VALUE!</v>
      </c>
      <c r="D48" s="63" t="e">
        <f>IF(C48="","",(E48-E47))</f>
        <v>#VALUE!</v>
      </c>
      <c r="E48" s="64" t="e">
        <f t="shared" si="13"/>
        <v>#VALUE!</v>
      </c>
    </row>
    <row r="49" spans="2:11">
      <c r="B49" s="23" t="e">
        <f>C48</f>
        <v>#VALUE!</v>
      </c>
    </row>
    <row r="53" spans="2:11" ht="57.75">
      <c r="B53" s="47" t="s">
        <v>77</v>
      </c>
      <c r="C53" s="47" t="s">
        <v>78</v>
      </c>
      <c r="D53" s="294" t="s">
        <v>79</v>
      </c>
      <c r="E53" s="294"/>
      <c r="F53" s="294"/>
      <c r="G53" s="54"/>
      <c r="H53" s="5"/>
      <c r="I53" s="295" t="s">
        <v>80</v>
      </c>
    </row>
    <row r="54" spans="2:11">
      <c r="B54" s="48" t="s">
        <v>81</v>
      </c>
      <c r="C54" s="48" t="s">
        <v>81</v>
      </c>
      <c r="D54" s="48" t="s">
        <v>82</v>
      </c>
      <c r="E54" s="48" t="s">
        <v>83</v>
      </c>
      <c r="F54" s="48" t="s">
        <v>84</v>
      </c>
      <c r="G54" s="48"/>
      <c r="H54" s="48"/>
      <c r="I54" s="296"/>
      <c r="J54" s="48" t="s">
        <v>92</v>
      </c>
      <c r="K54" t="s">
        <v>153</v>
      </c>
    </row>
    <row r="55" spans="2:11">
      <c r="B55" s="47">
        <v>81</v>
      </c>
      <c r="C55" s="49">
        <v>110.17670623134534</v>
      </c>
      <c r="D55" s="6">
        <v>16.864782047899471</v>
      </c>
      <c r="E55" s="6">
        <v>14.510728742835685</v>
      </c>
      <c r="F55" s="49">
        <v>15.687755395367578</v>
      </c>
      <c r="G55" s="49"/>
      <c r="H55" s="50"/>
      <c r="I55" s="51">
        <v>0.73518262408316082</v>
      </c>
      <c r="J55" s="68">
        <f>(I55*$B$28)*100</f>
        <v>72.528435413794028</v>
      </c>
      <c r="K55" s="92">
        <f>J55*$B$32</f>
        <v>72.351515855218778</v>
      </c>
    </row>
    <row r="56" spans="2:11">
      <c r="B56" s="47">
        <v>82</v>
      </c>
      <c r="C56" s="49">
        <v>111.4039519642067</v>
      </c>
      <c r="D56" s="6">
        <v>17.074455706764272</v>
      </c>
      <c r="E56" s="6">
        <v>14.613701440729169</v>
      </c>
      <c r="F56" s="49">
        <v>15.844078573746721</v>
      </c>
      <c r="G56" s="49"/>
      <c r="H56" s="50"/>
      <c r="I56" s="51">
        <v>0.73606006388665657</v>
      </c>
      <c r="J56" s="68">
        <f t="shared" ref="J56:J94" si="16">(I56*$B$28)*100</f>
        <v>72.61499803651202</v>
      </c>
      <c r="K56" s="92">
        <f t="shared" ref="K56:K94" si="17">J56*$B$32</f>
        <v>72.437867324602038</v>
      </c>
    </row>
    <row r="57" spans="2:11">
      <c r="B57" s="47">
        <v>83</v>
      </c>
      <c r="C57" s="49">
        <v>112.6282752396024</v>
      </c>
      <c r="D57" s="6">
        <v>17.284147265806148</v>
      </c>
      <c r="E57" s="6">
        <v>14.71614342750836</v>
      </c>
      <c r="F57" s="49">
        <v>16.000145346657256</v>
      </c>
      <c r="G57" s="49"/>
      <c r="H57" s="50"/>
      <c r="I57" s="51">
        <v>0.73693750369015243</v>
      </c>
      <c r="J57" s="68">
        <f t="shared" si="16"/>
        <v>72.701560659230026</v>
      </c>
      <c r="K57" s="92">
        <f t="shared" si="17"/>
        <v>72.524218793985312</v>
      </c>
    </row>
    <row r="58" spans="2:11">
      <c r="B58" s="47">
        <v>84</v>
      </c>
      <c r="C58" s="49">
        <v>113.84968648405146</v>
      </c>
      <c r="D58" s="6">
        <v>17.493856510850449</v>
      </c>
      <c r="E58" s="6">
        <v>14.81806378371237</v>
      </c>
      <c r="F58" s="49">
        <v>16.155960147281409</v>
      </c>
      <c r="G58" s="49"/>
      <c r="H58" s="50"/>
      <c r="I58" s="51">
        <v>0.73781494349364829</v>
      </c>
      <c r="J58" s="68">
        <f t="shared" si="16"/>
        <v>72.788123281948032</v>
      </c>
      <c r="K58" s="92">
        <f t="shared" si="17"/>
        <v>72.610570263368587</v>
      </c>
    </row>
    <row r="59" spans="2:11">
      <c r="B59" s="47">
        <v>85</v>
      </c>
      <c r="C59" s="49">
        <v>115.06819607453319</v>
      </c>
      <c r="D59" s="6">
        <v>17.703583232804778</v>
      </c>
      <c r="E59" s="6">
        <v>14.919471328516645</v>
      </c>
      <c r="F59" s="49">
        <v>16.311527280660712</v>
      </c>
      <c r="G59" s="49"/>
      <c r="H59" s="50"/>
      <c r="I59" s="51">
        <v>0.73869238329714404</v>
      </c>
      <c r="J59" s="68">
        <f t="shared" si="16"/>
        <v>72.874685904666009</v>
      </c>
      <c r="K59" s="92">
        <f t="shared" si="17"/>
        <v>72.696921732751832</v>
      </c>
    </row>
    <row r="60" spans="2:11">
      <c r="B60" s="47">
        <v>86</v>
      </c>
      <c r="C60" s="49">
        <v>116.28381433878111</v>
      </c>
      <c r="D60" s="6">
        <v>17.913327227479776</v>
      </c>
      <c r="E60" s="6">
        <v>15.020374630235036</v>
      </c>
      <c r="F60" s="49">
        <v>16.466850928857404</v>
      </c>
      <c r="G60" s="49"/>
      <c r="H60" s="49"/>
      <c r="I60" s="51">
        <v>0.7395698231006399</v>
      </c>
      <c r="J60" s="68">
        <f t="shared" si="16"/>
        <v>72.961248527384029</v>
      </c>
      <c r="K60" s="92">
        <f t="shared" si="17"/>
        <v>72.783273202135135</v>
      </c>
    </row>
    <row r="61" spans="2:11">
      <c r="B61" s="47">
        <v>87</v>
      </c>
      <c r="C61" s="49">
        <v>117.49655155557477</v>
      </c>
      <c r="D61" s="6">
        <v>18.123088295418643</v>
      </c>
      <c r="E61" s="6">
        <v>15.120782016283018</v>
      </c>
      <c r="F61" s="49">
        <v>16.621935155850831</v>
      </c>
      <c r="G61" s="49"/>
      <c r="H61" s="49"/>
      <c r="I61" s="51">
        <v>0.74044726290413565</v>
      </c>
      <c r="J61" s="68">
        <f t="shared" si="16"/>
        <v>73.047811150102021</v>
      </c>
      <c r="K61" s="92">
        <f t="shared" si="17"/>
        <v>72.869624671518395</v>
      </c>
    </row>
    <row r="62" spans="2:11">
      <c r="B62" s="47">
        <v>88</v>
      </c>
      <c r="C62" s="49">
        <v>118.70641795502937</v>
      </c>
      <c r="D62" s="6">
        <v>18.332866241734184</v>
      </c>
      <c r="E62" s="6">
        <v>15.220701582635391</v>
      </c>
      <c r="F62" s="49">
        <v>16.776783912184786</v>
      </c>
      <c r="G62" s="49"/>
      <c r="H62" s="49"/>
      <c r="I62" s="51">
        <v>0.74132470270763151</v>
      </c>
      <c r="J62" s="68">
        <f t="shared" si="16"/>
        <v>73.134373772820013</v>
      </c>
      <c r="K62" s="92">
        <f t="shared" si="17"/>
        <v>72.955976140901655</v>
      </c>
    </row>
    <row r="63" spans="2:11">
      <c r="B63" s="47">
        <v>89</v>
      </c>
      <c r="C63" s="49">
        <v>119.91342371888354</v>
      </c>
      <c r="D63" s="6">
        <v>18.542660875953423</v>
      </c>
      <c r="E63" s="6">
        <v>15.320141202809715</v>
      </c>
      <c r="F63" s="49">
        <v>16.931401039381569</v>
      </c>
      <c r="G63" s="49"/>
      <c r="H63" s="49"/>
      <c r="I63" s="51">
        <v>0.74220214251112737</v>
      </c>
      <c r="J63" s="68">
        <f t="shared" si="16"/>
        <v>73.220936395538018</v>
      </c>
      <c r="K63" s="92">
        <f t="shared" si="17"/>
        <v>73.042327610284929</v>
      </c>
    </row>
    <row r="64" spans="2:11">
      <c r="B64" s="5">
        <v>90</v>
      </c>
      <c r="C64" s="49">
        <v>121.11757898078487</v>
      </c>
      <c r="D64" s="6">
        <v>18.752472011869195</v>
      </c>
      <c r="E64" s="6">
        <v>15.419108536404257</v>
      </c>
      <c r="F64" s="49">
        <v>17.085790274136727</v>
      </c>
      <c r="G64" s="49"/>
      <c r="H64" s="6"/>
      <c r="I64" s="51">
        <v>0.74307958231462312</v>
      </c>
      <c r="J64" s="68">
        <f t="shared" si="16"/>
        <v>73.30749901825601</v>
      </c>
      <c r="K64" s="92">
        <f t="shared" si="17"/>
        <v>73.128679079668188</v>
      </c>
    </row>
    <row r="65" spans="2:11">
      <c r="B65" s="5">
        <v>91</v>
      </c>
      <c r="C65" s="49">
        <v>122.31889382657351</v>
      </c>
      <c r="D65" s="6">
        <v>18.962299467398132</v>
      </c>
      <c r="E65" s="6">
        <v>15.517611037217174</v>
      </c>
      <c r="F65" s="49">
        <v>17.239955252307652</v>
      </c>
      <c r="G65" s="49"/>
      <c r="H65" s="6"/>
      <c r="I65" s="51">
        <v>0.74395702211811898</v>
      </c>
      <c r="J65" s="68">
        <f t="shared" si="16"/>
        <v>73.394061640974016</v>
      </c>
      <c r="K65" s="92">
        <f t="shared" si="17"/>
        <v>73.215030549051463</v>
      </c>
    </row>
    <row r="66" spans="2:11">
      <c r="B66" s="5">
        <v>92</v>
      </c>
      <c r="C66" s="49">
        <v>123.51737829456385</v>
      </c>
      <c r="D66" s="6">
        <v>19.172143064445141</v>
      </c>
      <c r="E66" s="6">
        <v>15.615655960971905</v>
      </c>
      <c r="F66" s="49">
        <v>17.393899512708522</v>
      </c>
      <c r="G66" s="49"/>
      <c r="H66" s="6"/>
      <c r="I66" s="51">
        <v>0.74483446192161473</v>
      </c>
      <c r="J66" s="68">
        <f t="shared" si="16"/>
        <v>73.480624263692008</v>
      </c>
      <c r="K66" s="92">
        <f t="shared" si="17"/>
        <v>73.301382018434722</v>
      </c>
    </row>
    <row r="67" spans="2:11">
      <c r="B67" s="5">
        <v>93</v>
      </c>
      <c r="C67" s="49">
        <v>124.71304237582397</v>
      </c>
      <c r="D67" s="6">
        <v>19.382002628773577</v>
      </c>
      <c r="E67" s="6">
        <v>15.713250372671933</v>
      </c>
      <c r="F67" s="49">
        <v>17.547626500722757</v>
      </c>
      <c r="G67" s="49"/>
      <c r="H67" s="6"/>
      <c r="I67" s="51">
        <v>0.74571190172511059</v>
      </c>
      <c r="J67" s="68">
        <f t="shared" si="16"/>
        <v>73.567186886410013</v>
      </c>
      <c r="K67" s="92">
        <f t="shared" si="17"/>
        <v>73.387733487817997</v>
      </c>
    </row>
    <row r="68" spans="2:11">
      <c r="B68" s="5">
        <v>94</v>
      </c>
      <c r="C68" s="49">
        <v>125.90589601445348</v>
      </c>
      <c r="D68" s="6">
        <v>19.591877989881006</v>
      </c>
      <c r="E68" s="6">
        <v>15.81040115360647</v>
      </c>
      <c r="F68" s="49">
        <v>17.701139571743738</v>
      </c>
      <c r="G68" s="49"/>
      <c r="H68" s="6"/>
      <c r="I68" s="51">
        <v>0.74658934152860634</v>
      </c>
      <c r="J68" s="68">
        <f t="shared" si="16"/>
        <v>73.653749509127991</v>
      </c>
      <c r="K68" s="92">
        <f t="shared" si="17"/>
        <v>73.474084957201242</v>
      </c>
    </row>
    <row r="69" spans="2:11">
      <c r="B69" s="5">
        <v>95</v>
      </c>
      <c r="C69" s="49">
        <v>127.09594910785896</v>
      </c>
      <c r="D69" s="6">
        <v>19.80176898088045</v>
      </c>
      <c r="E69" s="6">
        <v>15.907115008027194</v>
      </c>
      <c r="F69" s="49">
        <v>17.854441994453822</v>
      </c>
      <c r="G69" s="49"/>
      <c r="H69" s="6"/>
      <c r="I69" s="51">
        <v>0.7474667813321022</v>
      </c>
      <c r="J69" s="68">
        <f t="shared" si="16"/>
        <v>73.740312131845997</v>
      </c>
      <c r="K69" s="92">
        <f t="shared" si="17"/>
        <v>73.560436426584531</v>
      </c>
    </row>
    <row r="70" spans="2:11">
      <c r="B70" s="5">
        <v>96</v>
      </c>
      <c r="C70" s="49">
        <v>128.28321150702794</v>
      </c>
      <c r="D70" s="6">
        <v>20.011675438386312</v>
      </c>
      <c r="E70" s="6">
        <v>16.003398469514622</v>
      </c>
      <c r="F70" s="49">
        <v>18.007536953950467</v>
      </c>
      <c r="G70" s="49"/>
      <c r="H70" s="6"/>
      <c r="I70" s="51">
        <v>0.74834422113559795</v>
      </c>
      <c r="J70" s="68">
        <f t="shared" si="16"/>
        <v>73.826874754563988</v>
      </c>
      <c r="K70" s="92">
        <f t="shared" si="17"/>
        <v>73.64678789596779</v>
      </c>
    </row>
    <row r="71" spans="2:11">
      <c r="B71" s="5">
        <v>97</v>
      </c>
      <c r="C71" s="49">
        <v>129.46769301680052</v>
      </c>
      <c r="D71" s="6">
        <v>20.221597202405267</v>
      </c>
      <c r="E71" s="6">
        <v>16.099257907051943</v>
      </c>
      <c r="F71" s="49">
        <v>18.160427554728606</v>
      </c>
      <c r="G71" s="49"/>
      <c r="H71" s="6"/>
      <c r="I71" s="51">
        <v>0.74922166093909381</v>
      </c>
      <c r="J71" s="68">
        <f t="shared" si="16"/>
        <v>73.913437377281994</v>
      </c>
      <c r="K71" s="92">
        <f t="shared" si="17"/>
        <v>73.733139365351064</v>
      </c>
    </row>
    <row r="72" spans="2:11">
      <c r="B72" s="5">
        <v>98</v>
      </c>
      <c r="C72" s="49">
        <v>130.64940339613941</v>
      </c>
      <c r="D72" s="6">
        <v>20.43153411623155</v>
      </c>
      <c r="E72" s="6">
        <v>16.194699530822238</v>
      </c>
      <c r="F72" s="49">
        <v>18.313116823526894</v>
      </c>
      <c r="G72" s="49"/>
      <c r="H72" s="6"/>
      <c r="I72" s="51">
        <v>0.75009910074258968</v>
      </c>
      <c r="J72" s="68">
        <f t="shared" si="16"/>
        <v>74</v>
      </c>
      <c r="K72" s="92">
        <f t="shared" si="17"/>
        <v>73.819490834734339</v>
      </c>
    </row>
    <row r="73" spans="2:11">
      <c r="B73" s="5">
        <v>99</v>
      </c>
      <c r="C73" s="49">
        <v>131.82835235839786</v>
      </c>
      <c r="D73" s="6">
        <v>20.641486026346577</v>
      </c>
      <c r="E73" s="6">
        <v>16.289729397744711</v>
      </c>
      <c r="F73" s="49">
        <v>18.465607712045646</v>
      </c>
      <c r="G73" s="49"/>
      <c r="H73" s="6"/>
      <c r="I73" s="51">
        <v>0.75097654054608542</v>
      </c>
      <c r="J73" s="68">
        <f t="shared" si="16"/>
        <v>74.086562622717992</v>
      </c>
      <c r="K73" s="92">
        <f t="shared" si="17"/>
        <v>73.905842304117598</v>
      </c>
    </row>
    <row r="74" spans="2:11">
      <c r="B74" s="5">
        <v>100</v>
      </c>
      <c r="C74" s="49">
        <v>133.00454957158581</v>
      </c>
      <c r="D74" s="6">
        <v>20.851452782322603</v>
      </c>
      <c r="E74" s="6">
        <v>16.384353416763961</v>
      </c>
      <c r="F74" s="49">
        <v>18.617903099543284</v>
      </c>
      <c r="G74" s="49"/>
      <c r="H74" s="6"/>
      <c r="I74" s="51">
        <v>0.75185398034958129</v>
      </c>
      <c r="J74" s="68">
        <f t="shared" si="16"/>
        <v>74.173125245435983</v>
      </c>
      <c r="K74" s="92">
        <f t="shared" si="17"/>
        <v>73.992193773500858</v>
      </c>
    </row>
    <row r="75" spans="2:11">
      <c r="B75" s="5">
        <v>101</v>
      </c>
      <c r="C75" s="49">
        <v>134.17800465863434</v>
      </c>
      <c r="D75" s="6">
        <v>21.061434236730111</v>
      </c>
      <c r="E75" s="6">
        <v>16.478577353905742</v>
      </c>
      <c r="F75" s="49">
        <v>18.770005795317928</v>
      </c>
      <c r="G75" s="49"/>
      <c r="H75" s="6"/>
      <c r="I75" s="51">
        <v>0.75273142015307704</v>
      </c>
      <c r="J75" s="68">
        <f t="shared" si="16"/>
        <v>74.259687868153975</v>
      </c>
      <c r="K75" s="92">
        <f t="shared" si="17"/>
        <v>74.078545242884118</v>
      </c>
    </row>
    <row r="76" spans="2:11">
      <c r="B76" s="5">
        <v>102</v>
      </c>
      <c r="C76" s="49">
        <v>135.34872719765769</v>
      </c>
      <c r="D76" s="6">
        <v>21.27143024504899</v>
      </c>
      <c r="E76" s="6">
        <v>16.572406837111849</v>
      </c>
      <c r="F76" s="49">
        <v>18.921918541080419</v>
      </c>
      <c r="G76" s="49"/>
      <c r="H76" s="6"/>
      <c r="I76" s="51">
        <v>0.7536088599565729</v>
      </c>
      <c r="J76" s="68">
        <f t="shared" si="16"/>
        <v>74.346250490871995</v>
      </c>
      <c r="K76" s="92">
        <f t="shared" si="17"/>
        <v>74.164896712267407</v>
      </c>
    </row>
    <row r="77" spans="2:11">
      <c r="B77" s="5">
        <v>103</v>
      </c>
      <c r="C77" s="49">
        <v>136.51672672221434</v>
      </c>
      <c r="D77" s="6">
        <v>21.481440665583278</v>
      </c>
      <c r="E77" s="6">
        <v>16.665847360865602</v>
      </c>
      <c r="F77" s="49">
        <v>19.073644013224438</v>
      </c>
      <c r="G77" s="49"/>
      <c r="H77" s="6"/>
      <c r="I77" s="51">
        <v>0.75448629976006876</v>
      </c>
      <c r="J77" s="68">
        <f t="shared" si="16"/>
        <v>74.432813113589987</v>
      </c>
      <c r="K77" s="92">
        <f t="shared" si="17"/>
        <v>74.251248181650666</v>
      </c>
    </row>
    <row r="78" spans="2:11">
      <c r="B78" s="5">
        <v>104</v>
      </c>
      <c r="C78" s="49">
        <v>137.68201272156554</v>
      </c>
      <c r="D78" s="6">
        <v>21.69146535937886</v>
      </c>
      <c r="E78" s="6">
        <v>16.758904290619089</v>
      </c>
      <c r="F78" s="49">
        <v>19.225184824998976</v>
      </c>
      <c r="G78" s="49"/>
      <c r="H78" s="6"/>
      <c r="I78" s="51">
        <v>0.75536373956356451</v>
      </c>
      <c r="J78" s="68">
        <f t="shared" si="16"/>
        <v>74.519375736307978</v>
      </c>
      <c r="K78" s="92">
        <f t="shared" si="17"/>
        <v>74.337599651033941</v>
      </c>
    </row>
    <row r="79" spans="2:11">
      <c r="B79" s="5">
        <v>105</v>
      </c>
      <c r="C79" s="49">
        <v>138.84459464093223</v>
      </c>
      <c r="D79" s="6">
        <v>21.901504190144763</v>
      </c>
      <c r="E79" s="6">
        <v>16.851582867032572</v>
      </c>
      <c r="F79" s="49">
        <v>19.37654352858867</v>
      </c>
      <c r="G79" s="49"/>
      <c r="H79" s="6"/>
      <c r="I79" s="51">
        <v>0.75624117936706026</v>
      </c>
      <c r="J79" s="68">
        <f t="shared" si="16"/>
        <v>74.60593835902597</v>
      </c>
      <c r="K79" s="92">
        <f t="shared" si="17"/>
        <v>74.4239511204172</v>
      </c>
    </row>
    <row r="80" spans="2:11">
      <c r="B80" s="5">
        <v>106</v>
      </c>
      <c r="C80" s="49">
        <v>140.00448188175039</v>
      </c>
      <c r="D80" s="6">
        <v>22.111557024177106</v>
      </c>
      <c r="E80" s="6">
        <v>16.943888210035503</v>
      </c>
      <c r="F80" s="49">
        <v>19.527722617106306</v>
      </c>
      <c r="G80" s="49"/>
      <c r="H80" s="6"/>
      <c r="I80" s="51">
        <v>0.75711861917055612</v>
      </c>
      <c r="J80" s="68">
        <f t="shared" si="16"/>
        <v>74.692500981743976</v>
      </c>
      <c r="K80" s="92">
        <f t="shared" si="17"/>
        <v>74.510302589800474</v>
      </c>
    </row>
    <row r="81" spans="2:11">
      <c r="B81" s="5">
        <v>107</v>
      </c>
      <c r="C81" s="49">
        <v>141.16168380192445</v>
      </c>
      <c r="D81" s="6">
        <v>22.321623730286092</v>
      </c>
      <c r="E81" s="6">
        <v>17.035825322718448</v>
      </c>
      <c r="F81" s="49">
        <v>19.678724526502272</v>
      </c>
      <c r="G81" s="49"/>
      <c r="H81" s="6"/>
      <c r="I81" s="51">
        <v>0.75799605897405198</v>
      </c>
      <c r="J81" s="68">
        <f t="shared" si="16"/>
        <v>74.779063604461967</v>
      </c>
      <c r="K81" s="92">
        <f t="shared" si="17"/>
        <v>74.596654059183734</v>
      </c>
    </row>
    <row r="82" spans="2:11">
      <c r="B82" s="5">
        <v>108</v>
      </c>
      <c r="C82" s="49">
        <v>142.31620971607887</v>
      </c>
      <c r="D82" s="6">
        <v>22.531704179725708</v>
      </c>
      <c r="E82" s="6">
        <v>17.127399095064437</v>
      </c>
      <c r="F82" s="49">
        <v>19.82955163739507</v>
      </c>
      <c r="G82" s="49"/>
      <c r="H82" s="6"/>
      <c r="I82" s="51">
        <v>0.75887349877754773</v>
      </c>
      <c r="J82" s="68">
        <f t="shared" si="16"/>
        <v>74.865626227179973</v>
      </c>
      <c r="K82" s="92">
        <f t="shared" si="17"/>
        <v>74.683005528567008</v>
      </c>
    </row>
    <row r="83" spans="2:11">
      <c r="B83" s="5">
        <v>109</v>
      </c>
      <c r="C83" s="49">
        <v>143.46806889580807</v>
      </c>
      <c r="D83" s="6">
        <v>22.741798246125917</v>
      </c>
      <c r="E83" s="6">
        <v>17.218614307527691</v>
      </c>
      <c r="F83" s="49">
        <v>19.980206276826806</v>
      </c>
      <c r="G83" s="49"/>
      <c r="H83" s="6"/>
      <c r="I83" s="51">
        <v>0.75975093858104359</v>
      </c>
      <c r="J83" s="68">
        <f t="shared" si="16"/>
        <v>74.952188849897965</v>
      </c>
      <c r="K83" s="92">
        <f t="shared" si="17"/>
        <v>74.769356997950268</v>
      </c>
    </row>
    <row r="84" spans="2:11">
      <c r="B84" s="5">
        <v>110</v>
      </c>
      <c r="C84" s="49">
        <v>144.61727056992473</v>
      </c>
      <c r="D84" s="6">
        <v>22.951905805427518</v>
      </c>
      <c r="E84" s="6">
        <v>17.309475634467464</v>
      </c>
      <c r="F84" s="49">
        <v>20.130690719947491</v>
      </c>
      <c r="G84" s="49"/>
      <c r="H84" s="6"/>
      <c r="I84" s="51">
        <v>0.76062837838453934</v>
      </c>
      <c r="J84" s="68">
        <f t="shared" si="16"/>
        <v>75.038751472615957</v>
      </c>
      <c r="K84" s="92">
        <f t="shared" si="17"/>
        <v>74.855708467333528</v>
      </c>
    </row>
    <row r="85" spans="2:11">
      <c r="B85" s="5">
        <v>111</v>
      </c>
      <c r="C85" s="49">
        <v>145.76382392470609</v>
      </c>
      <c r="D85" s="6">
        <v>23.162026735819119</v>
      </c>
      <c r="E85" s="6">
        <v>17.399987647444007</v>
      </c>
      <c r="F85" s="49">
        <v>20.281007191631563</v>
      </c>
      <c r="G85" s="49"/>
      <c r="H85" s="6"/>
      <c r="I85" s="51">
        <v>0.7615058181880352</v>
      </c>
      <c r="J85" s="68">
        <f t="shared" si="16"/>
        <v>75.125314095333962</v>
      </c>
      <c r="K85" s="92">
        <f t="shared" si="17"/>
        <v>74.942059936716802</v>
      </c>
    </row>
    <row r="86" spans="2:11">
      <c r="B86" s="5">
        <v>112</v>
      </c>
      <c r="C86" s="49">
        <v>146.9077381041389</v>
      </c>
      <c r="D86" s="6">
        <v>23.372160917676677</v>
      </c>
      <c r="E86" s="6">
        <v>17.49015481838342</v>
      </c>
      <c r="F86" s="49">
        <v>20.431157868030049</v>
      </c>
      <c r="G86" s="49"/>
      <c r="H86" s="6"/>
      <c r="I86" s="51">
        <v>0.76238325799153106</v>
      </c>
      <c r="J86" s="68">
        <f t="shared" si="16"/>
        <v>75.211876718051968</v>
      </c>
      <c r="K86" s="92">
        <f t="shared" si="17"/>
        <v>75.028411406100076</v>
      </c>
    </row>
    <row r="87" spans="2:11">
      <c r="B87" s="5">
        <v>113</v>
      </c>
      <c r="C87" s="49">
        <v>148.04902221016243</v>
      </c>
      <c r="D87" s="6">
        <v>23.582308233504943</v>
      </c>
      <c r="E87" s="6">
        <v>17.579981522617746</v>
      </c>
      <c r="F87" s="49">
        <v>20.581144878061345</v>
      </c>
      <c r="G87" s="49"/>
      <c r="H87" s="6"/>
      <c r="I87" s="51">
        <v>0.76326069779502681</v>
      </c>
      <c r="J87" s="68">
        <f t="shared" si="16"/>
        <v>75.298439340769946</v>
      </c>
      <c r="K87" s="92">
        <f t="shared" si="17"/>
        <v>75.114762875483336</v>
      </c>
    </row>
    <row r="88" spans="2:11">
      <c r="B88" s="5">
        <v>114</v>
      </c>
      <c r="C88" s="49">
        <v>149.18768530290981</v>
      </c>
      <c r="D88" s="6">
        <v>23.792468567881055</v>
      </c>
      <c r="E88" s="6">
        <v>17.66947204180623</v>
      </c>
      <c r="F88" s="49">
        <v>20.730970304843645</v>
      </c>
      <c r="G88" s="49"/>
      <c r="H88" s="6"/>
      <c r="I88" s="51">
        <v>0.76413813759852267</v>
      </c>
      <c r="J88" s="68">
        <f t="shared" si="16"/>
        <v>75.385001963487966</v>
      </c>
      <c r="K88" s="92">
        <f t="shared" si="17"/>
        <v>75.201114344866625</v>
      </c>
    </row>
    <row r="89" spans="2:11">
      <c r="B89" s="5">
        <v>115</v>
      </c>
      <c r="C89" s="49">
        <v>150.32373640094792</v>
      </c>
      <c r="D89" s="6">
        <v>24.002641807400256</v>
      </c>
      <c r="E89" s="6">
        <v>17.758630566743491</v>
      </c>
      <c r="F89" s="49">
        <v>20.880636187071872</v>
      </c>
      <c r="G89" s="49"/>
      <c r="H89" s="6"/>
      <c r="I89" s="51">
        <v>0.76501557740201842</v>
      </c>
      <c r="J89" s="68">
        <f t="shared" si="16"/>
        <v>75.471564586205957</v>
      </c>
      <c r="K89" s="92">
        <f t="shared" si="17"/>
        <v>75.287465814249884</v>
      </c>
    </row>
    <row r="90" spans="2:11">
      <c r="B90" s="5">
        <v>116</v>
      </c>
      <c r="C90" s="49">
        <v>151.45718448151536</v>
      </c>
      <c r="D90" s="6">
        <v>24.212827840623181</v>
      </c>
      <c r="E90" s="6">
        <v>17.847461200059801</v>
      </c>
      <c r="F90" s="49">
        <v>21.030144520341491</v>
      </c>
      <c r="G90" s="49"/>
      <c r="H90" s="6"/>
      <c r="I90" s="51">
        <v>0.76589301720551428</v>
      </c>
      <c r="J90" s="68">
        <f t="shared" si="16"/>
        <v>75.558127208923949</v>
      </c>
      <c r="K90" s="92">
        <f t="shared" si="17"/>
        <v>75.373817283633144</v>
      </c>
    </row>
    <row r="91" spans="2:11">
      <c r="B91" s="5">
        <v>117</v>
      </c>
      <c r="C91" s="49">
        <v>152.58803848075902</v>
      </c>
      <c r="D91" s="6">
        <v>24.423026558025349</v>
      </c>
      <c r="E91" s="6">
        <v>17.935967958818601</v>
      </c>
      <c r="F91" s="49">
        <v>21.179497258421975</v>
      </c>
      <c r="G91" s="49"/>
      <c r="H91" s="6"/>
      <c r="I91" s="51">
        <v>0.76677045700901003</v>
      </c>
      <c r="J91" s="68">
        <f t="shared" si="16"/>
        <v>75.644689831641941</v>
      </c>
      <c r="K91" s="92">
        <f t="shared" si="17"/>
        <v>75.460168753016404</v>
      </c>
    </row>
    <row r="92" spans="2:11">
      <c r="B92" s="5">
        <v>118</v>
      </c>
      <c r="C92" s="49">
        <v>153.71630729396878</v>
      </c>
      <c r="D92" s="6">
        <v>24.633237851947925</v>
      </c>
      <c r="E92" s="6">
        <v>18.024154777015983</v>
      </c>
      <c r="F92" s="49">
        <v>21.328696314481952</v>
      </c>
      <c r="G92" s="49"/>
      <c r="H92" s="6"/>
      <c r="I92" s="51">
        <v>0.76764789681250589</v>
      </c>
      <c r="J92" s="68">
        <f t="shared" si="16"/>
        <v>75.731252454359947</v>
      </c>
      <c r="K92" s="92">
        <f t="shared" si="17"/>
        <v>75.546520222399678</v>
      </c>
    </row>
    <row r="93" spans="2:11">
      <c r="B93" s="5">
        <v>119</v>
      </c>
      <c r="C93" s="49">
        <v>154.84199977581099</v>
      </c>
      <c r="D93" s="6">
        <v>24.843461616550663</v>
      </c>
      <c r="E93" s="6">
        <v>18.112025507986587</v>
      </c>
      <c r="F93" s="49">
        <v>21.477743562268625</v>
      </c>
      <c r="G93" s="49"/>
      <c r="H93" s="6"/>
      <c r="I93" s="51">
        <v>0.76852533661600164</v>
      </c>
      <c r="J93" s="68">
        <f t="shared" si="16"/>
        <v>75.817815077077938</v>
      </c>
      <c r="K93" s="92">
        <f t="shared" si="17"/>
        <v>75.632871691782938</v>
      </c>
    </row>
    <row r="94" spans="2:11">
      <c r="B94" s="5">
        <v>120</v>
      </c>
      <c r="C94" s="49">
        <v>155.96512474055984</v>
      </c>
      <c r="D94" s="6">
        <v>25.053697747765945</v>
      </c>
      <c r="E94" s="6">
        <v>18.199583926720305</v>
      </c>
      <c r="F94" s="49">
        <v>21.626640837243123</v>
      </c>
      <c r="G94" s="49"/>
      <c r="H94" s="6"/>
      <c r="I94" s="51">
        <v>0.7694027764194975</v>
      </c>
      <c r="J94" s="68">
        <f t="shared" si="16"/>
        <v>75.904377699795944</v>
      </c>
      <c r="K94" s="92">
        <f t="shared" si="17"/>
        <v>75.719223161166212</v>
      </c>
    </row>
  </sheetData>
  <mergeCells count="8">
    <mergeCell ref="D53:F53"/>
    <mergeCell ref="I53:I54"/>
    <mergeCell ref="B38:E38"/>
    <mergeCell ref="A1:O1"/>
    <mergeCell ref="A2:A4"/>
    <mergeCell ref="J2:K3"/>
    <mergeCell ref="B37:E37"/>
    <mergeCell ref="B2:G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3F5D1-1C3D-CB49-A915-8D3D9E5FFC4E}">
  <sheetPr codeName="Sheet8">
    <tabColor rgb="FFFF0000"/>
  </sheetPr>
  <dimension ref="B1:KX312"/>
  <sheetViews>
    <sheetView showGridLines="0" zoomScale="85" zoomScaleNormal="85" workbookViewId="0">
      <selection activeCell="E7" sqref="E7"/>
    </sheetView>
  </sheetViews>
  <sheetFormatPr defaultColWidth="10.625" defaultRowHeight="15.75"/>
  <cols>
    <col min="1" max="1" width="5.625" style="120" customWidth="1"/>
    <col min="2" max="4" width="15.625" style="120" customWidth="1"/>
    <col min="5" max="5" width="25.625" style="120" customWidth="1"/>
    <col min="6" max="7" width="15.625" style="120" customWidth="1"/>
    <col min="8" max="8" width="10.625" style="120" customWidth="1"/>
    <col min="9" max="10" width="15.625" style="120" customWidth="1"/>
    <col min="11" max="11" width="16" style="120" customWidth="1"/>
    <col min="12" max="12" width="15" style="120" customWidth="1"/>
    <col min="13" max="13" width="12.125" style="120" bestFit="1" customWidth="1"/>
    <col min="14" max="14" width="15.125" style="120" bestFit="1" customWidth="1"/>
    <col min="15" max="15" width="13.125" style="120" customWidth="1"/>
    <col min="16" max="16" width="10.625" style="120" customWidth="1"/>
    <col min="17" max="17" width="12.5" style="120" hidden="1" customWidth="1"/>
    <col min="18" max="18" width="10.5" style="120" hidden="1" customWidth="1"/>
    <col min="19" max="19" width="12.625" style="120" hidden="1" customWidth="1"/>
    <col min="20" max="20" width="11.125" style="120" hidden="1" customWidth="1"/>
    <col min="21" max="21" width="13.125" style="120" hidden="1" customWidth="1"/>
    <col min="22" max="22" width="18" style="120" hidden="1" customWidth="1"/>
    <col min="23" max="23" width="10.625" style="120" hidden="1" customWidth="1"/>
    <col min="24" max="24" width="13.125" style="120" hidden="1" customWidth="1"/>
    <col min="25" max="33" width="10.625" style="120" hidden="1" customWidth="1"/>
    <col min="34" max="37" width="0" style="121" hidden="1" customWidth="1"/>
    <col min="38" max="274" width="10.625" style="121"/>
    <col min="275" max="16384" width="10.625" style="120"/>
  </cols>
  <sheetData>
    <row r="1" spans="2:310" ht="20.100000000000001" customHeight="1">
      <c r="B1" s="283" t="s">
        <v>230</v>
      </c>
      <c r="C1" s="283"/>
      <c r="D1" s="283"/>
      <c r="E1" s="283"/>
      <c r="F1" s="283"/>
      <c r="G1" s="283"/>
      <c r="H1" s="283"/>
      <c r="I1" s="283"/>
      <c r="J1" s="283"/>
      <c r="K1" s="81"/>
      <c r="L1" s="81"/>
      <c r="M1" s="81"/>
      <c r="N1" s="81"/>
      <c r="O1" s="121"/>
      <c r="P1" s="121"/>
      <c r="Q1" s="121"/>
      <c r="R1" s="121"/>
      <c r="S1" s="121"/>
      <c r="T1" s="121"/>
      <c r="U1" s="121"/>
      <c r="V1" s="121"/>
      <c r="W1" s="121"/>
      <c r="X1" s="121"/>
      <c r="Y1" s="121"/>
      <c r="Z1" s="121"/>
      <c r="AA1" s="121"/>
      <c r="AB1" s="121"/>
      <c r="AC1" s="121"/>
      <c r="AD1" s="121"/>
      <c r="AE1" s="121"/>
      <c r="AF1" s="121"/>
      <c r="AG1" s="121"/>
      <c r="AZ1" s="120"/>
      <c r="BA1" s="120"/>
      <c r="BB1" s="120"/>
      <c r="BC1" s="120"/>
      <c r="BD1" s="120"/>
      <c r="BE1" s="120"/>
      <c r="BF1" s="120"/>
      <c r="BG1" s="120"/>
      <c r="BH1" s="120"/>
      <c r="BI1" s="120"/>
      <c r="BJ1" s="120"/>
      <c r="BK1" s="120"/>
      <c r="BL1" s="120"/>
      <c r="BM1" s="120"/>
      <c r="BN1" s="120"/>
      <c r="BO1" s="120"/>
      <c r="BP1" s="120"/>
      <c r="BQ1" s="120"/>
      <c r="JO1" s="121"/>
      <c r="JP1" s="121"/>
      <c r="JQ1" s="121"/>
      <c r="JR1" s="121"/>
      <c r="JS1" s="121"/>
      <c r="JT1" s="121"/>
      <c r="JU1" s="121"/>
      <c r="JV1" s="121"/>
      <c r="JW1" s="121"/>
      <c r="JX1" s="121"/>
      <c r="JY1" s="121"/>
      <c r="JZ1" s="121"/>
      <c r="KA1" s="121"/>
      <c r="KB1" s="121"/>
      <c r="KC1" s="121"/>
      <c r="KD1" s="121"/>
      <c r="KE1" s="121"/>
      <c r="KF1" s="121"/>
      <c r="KG1" s="121"/>
      <c r="KH1" s="121"/>
      <c r="KI1" s="121"/>
      <c r="KJ1" s="121"/>
      <c r="KK1" s="121"/>
      <c r="KL1" s="121"/>
      <c r="KM1" s="121"/>
      <c r="KN1" s="121"/>
      <c r="KO1" s="121"/>
      <c r="KP1" s="121"/>
      <c r="KQ1" s="121"/>
      <c r="KR1" s="121"/>
      <c r="KS1" s="121"/>
      <c r="KT1" s="121"/>
      <c r="KU1" s="121"/>
      <c r="KV1" s="121"/>
      <c r="KW1" s="121"/>
      <c r="KX1" s="121"/>
    </row>
    <row r="2" spans="2:310" ht="84.95" customHeight="1">
      <c r="B2" s="283"/>
      <c r="C2" s="283"/>
      <c r="D2" s="283"/>
      <c r="E2" s="283"/>
      <c r="F2" s="283"/>
      <c r="G2" s="283"/>
      <c r="H2" s="283"/>
      <c r="I2" s="283"/>
      <c r="J2" s="283"/>
      <c r="K2" s="81"/>
      <c r="L2" s="81"/>
      <c r="M2" s="81"/>
      <c r="N2" s="81"/>
      <c r="O2" s="121"/>
      <c r="P2" s="121"/>
      <c r="Q2" s="121"/>
      <c r="R2" s="121"/>
      <c r="S2" s="121"/>
      <c r="T2" s="121"/>
      <c r="U2" s="121"/>
      <c r="V2" s="121"/>
      <c r="W2" s="121"/>
      <c r="X2" s="121"/>
      <c r="Y2" s="121"/>
      <c r="Z2" s="121"/>
      <c r="AA2" s="121"/>
      <c r="AB2" s="121"/>
      <c r="AC2" s="121"/>
      <c r="AD2" s="121"/>
      <c r="AE2" s="121"/>
      <c r="AF2" s="121"/>
      <c r="AG2" s="121"/>
      <c r="AZ2" s="120"/>
      <c r="BA2" s="120"/>
      <c r="BB2" s="120"/>
      <c r="BC2" s="120"/>
      <c r="BD2" s="120"/>
      <c r="BE2" s="120"/>
      <c r="BF2" s="120"/>
      <c r="BG2" s="120"/>
      <c r="BH2" s="120"/>
      <c r="BI2" s="120"/>
      <c r="BJ2" s="120"/>
      <c r="BK2" s="120"/>
      <c r="BL2" s="120"/>
      <c r="BM2" s="120"/>
      <c r="BN2" s="120"/>
      <c r="BO2" s="120"/>
      <c r="BP2" s="120"/>
      <c r="BQ2" s="120"/>
      <c r="JO2" s="121"/>
      <c r="JP2" s="121"/>
      <c r="JQ2" s="121"/>
      <c r="JR2" s="121"/>
      <c r="JS2" s="121"/>
      <c r="JT2" s="121"/>
      <c r="JU2" s="121"/>
      <c r="JV2" s="121"/>
      <c r="JW2" s="121"/>
      <c r="JX2" s="121"/>
      <c r="JY2" s="121"/>
      <c r="JZ2" s="121"/>
      <c r="KA2" s="121"/>
      <c r="KB2" s="121"/>
      <c r="KC2" s="121"/>
      <c r="KD2" s="121"/>
      <c r="KE2" s="121"/>
      <c r="KF2" s="121"/>
      <c r="KG2" s="121"/>
      <c r="KH2" s="121"/>
      <c r="KI2" s="121"/>
      <c r="KJ2" s="121"/>
      <c r="KK2" s="121"/>
      <c r="KL2" s="121"/>
      <c r="KM2" s="121"/>
      <c r="KN2" s="121"/>
      <c r="KO2" s="121"/>
      <c r="KP2" s="121"/>
      <c r="KQ2" s="121"/>
      <c r="KR2" s="121"/>
      <c r="KS2" s="121"/>
      <c r="KT2" s="121"/>
      <c r="KU2" s="121"/>
      <c r="KV2" s="121"/>
      <c r="KW2" s="121"/>
      <c r="KX2" s="121"/>
    </row>
    <row r="3" spans="2:310" ht="20.100000000000001" customHeight="1">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Z3" s="120"/>
      <c r="BA3" s="120"/>
      <c r="BB3" s="120"/>
      <c r="BC3" s="120"/>
      <c r="BD3" s="120"/>
      <c r="BE3" s="120"/>
      <c r="BF3" s="120"/>
      <c r="BG3" s="120"/>
      <c r="BH3" s="120"/>
      <c r="BI3" s="120"/>
      <c r="BJ3" s="120"/>
      <c r="BK3" s="120"/>
      <c r="BL3" s="120"/>
      <c r="BM3" s="120"/>
      <c r="BN3" s="120"/>
      <c r="BO3" s="120"/>
      <c r="BP3" s="120"/>
      <c r="BQ3" s="120"/>
      <c r="JO3" s="121"/>
      <c r="JP3" s="121"/>
      <c r="JQ3" s="121"/>
      <c r="JR3" s="121"/>
      <c r="JS3" s="121"/>
      <c r="JT3" s="121"/>
      <c r="JU3" s="121"/>
      <c r="JV3" s="121"/>
      <c r="JW3" s="121"/>
      <c r="JX3" s="121"/>
      <c r="JY3" s="121"/>
      <c r="JZ3" s="121"/>
      <c r="KA3" s="121"/>
      <c r="KB3" s="121"/>
      <c r="KC3" s="121"/>
      <c r="KD3" s="121"/>
      <c r="KE3" s="121"/>
      <c r="KF3" s="121"/>
      <c r="KG3" s="121"/>
      <c r="KH3" s="121"/>
      <c r="KI3" s="121"/>
      <c r="KJ3" s="121"/>
      <c r="KK3" s="121"/>
      <c r="KL3" s="121"/>
      <c r="KM3" s="121"/>
      <c r="KN3" s="121"/>
      <c r="KO3" s="121"/>
      <c r="KP3" s="121"/>
      <c r="KQ3" s="121"/>
      <c r="KR3" s="121"/>
      <c r="KS3" s="121"/>
      <c r="KT3" s="121"/>
      <c r="KU3" s="121"/>
      <c r="KV3" s="121"/>
      <c r="KW3" s="121"/>
      <c r="KX3" s="121"/>
    </row>
    <row r="4" spans="2:310" ht="20.100000000000001" customHeight="1" thickBot="1">
      <c r="B4" s="122" t="s">
        <v>148</v>
      </c>
      <c r="C4" s="123"/>
      <c r="D4" s="123"/>
      <c r="E4" s="124"/>
      <c r="F4" s="125"/>
      <c r="G4" s="126"/>
      <c r="H4" s="126"/>
      <c r="I4" s="126"/>
      <c r="J4" s="126"/>
      <c r="K4" s="127"/>
      <c r="L4" s="127"/>
      <c r="M4" s="127"/>
      <c r="N4" s="127"/>
      <c r="O4" s="121"/>
      <c r="P4" s="121"/>
      <c r="Q4" s="121"/>
      <c r="R4" s="121"/>
      <c r="S4" s="121"/>
      <c r="T4" s="121"/>
      <c r="U4" s="121"/>
      <c r="V4" s="121"/>
      <c r="W4" s="121"/>
      <c r="X4" s="121"/>
      <c r="Y4" s="121"/>
      <c r="Z4" s="121"/>
      <c r="AA4" s="121"/>
      <c r="AB4" s="121"/>
      <c r="AC4" s="121"/>
      <c r="AD4" s="121"/>
      <c r="AE4" s="121"/>
      <c r="AF4" s="121"/>
      <c r="AG4" s="121"/>
      <c r="AZ4" s="120"/>
      <c r="BA4" s="120"/>
      <c r="BB4" s="120"/>
      <c r="BC4" s="120"/>
      <c r="BD4" s="120"/>
      <c r="BE4" s="120"/>
      <c r="BF4" s="120"/>
      <c r="BG4" s="120"/>
      <c r="BH4" s="120"/>
      <c r="BI4" s="120"/>
      <c r="BJ4" s="120"/>
      <c r="BK4" s="120"/>
      <c r="BL4" s="120"/>
      <c r="BM4" s="120"/>
      <c r="BN4" s="120"/>
      <c r="BO4" s="120"/>
      <c r="BP4" s="120"/>
      <c r="BQ4" s="120"/>
      <c r="JO4" s="121"/>
      <c r="JP4" s="121"/>
      <c r="JQ4" s="121"/>
      <c r="JR4" s="121"/>
      <c r="JS4" s="121"/>
      <c r="JT4" s="121"/>
      <c r="JU4" s="121"/>
      <c r="JV4" s="121"/>
      <c r="JW4" s="121"/>
      <c r="JX4" s="121"/>
      <c r="JY4" s="121"/>
      <c r="JZ4" s="121"/>
      <c r="KA4" s="121"/>
      <c r="KB4" s="121"/>
      <c r="KC4" s="121"/>
      <c r="KD4" s="121"/>
      <c r="KE4" s="121"/>
      <c r="KF4" s="121"/>
      <c r="KG4" s="121"/>
      <c r="KH4" s="121"/>
      <c r="KI4" s="121"/>
      <c r="KJ4" s="121"/>
      <c r="KK4" s="121"/>
      <c r="KL4" s="121"/>
      <c r="KM4" s="121"/>
      <c r="KN4" s="121"/>
      <c r="KO4" s="121"/>
      <c r="KP4" s="121"/>
      <c r="KQ4" s="121"/>
      <c r="KR4" s="121"/>
      <c r="KS4" s="121"/>
      <c r="KT4" s="121"/>
      <c r="KU4" s="121"/>
      <c r="KV4" s="121"/>
      <c r="KW4" s="121"/>
      <c r="KX4" s="121"/>
    </row>
    <row r="5" spans="2:310" ht="20.100000000000001" customHeight="1">
      <c r="B5" s="129"/>
      <c r="C5" s="129"/>
      <c r="D5" s="129"/>
      <c r="E5" s="129"/>
      <c r="F5" s="129"/>
      <c r="G5" s="121"/>
      <c r="H5" s="121"/>
      <c r="I5" s="121"/>
      <c r="J5" s="121"/>
      <c r="K5" s="121"/>
      <c r="L5" s="121"/>
      <c r="M5" s="121"/>
      <c r="N5" s="121"/>
      <c r="O5" s="121"/>
      <c r="P5" s="121"/>
      <c r="Q5" s="121"/>
      <c r="R5" s="121"/>
      <c r="S5" s="121"/>
      <c r="T5" s="121"/>
      <c r="U5" s="121"/>
      <c r="V5" s="121"/>
      <c r="W5" s="121"/>
      <c r="X5" s="121"/>
      <c r="Y5" s="121"/>
      <c r="Z5" s="121"/>
      <c r="AA5" s="121"/>
      <c r="AB5" s="121"/>
      <c r="AC5" s="121"/>
      <c r="AD5" s="121"/>
      <c r="AE5" s="121"/>
      <c r="AF5" s="121"/>
      <c r="AG5" s="121"/>
      <c r="AZ5" s="120"/>
      <c r="BA5" s="120"/>
      <c r="BB5" s="120"/>
      <c r="BC5" s="120"/>
      <c r="BD5" s="120"/>
      <c r="BE5" s="120"/>
      <c r="BF5" s="120"/>
      <c r="BG5" s="120"/>
      <c r="BH5" s="120"/>
      <c r="BI5" s="120"/>
      <c r="BJ5" s="120"/>
      <c r="BK5" s="120"/>
      <c r="BL5" s="120"/>
      <c r="BM5" s="120"/>
      <c r="BN5" s="120"/>
      <c r="BO5" s="120"/>
      <c r="BP5" s="120"/>
      <c r="BQ5" s="120"/>
      <c r="JO5" s="121"/>
      <c r="JP5" s="121"/>
      <c r="JQ5" s="121"/>
      <c r="JR5" s="121"/>
      <c r="JS5" s="121"/>
      <c r="JT5" s="121"/>
      <c r="JU5" s="121"/>
      <c r="JV5" s="121"/>
      <c r="JW5" s="121"/>
      <c r="JX5" s="121"/>
      <c r="JY5" s="121"/>
      <c r="JZ5" s="121"/>
      <c r="KA5" s="121"/>
      <c r="KB5" s="121"/>
      <c r="KC5" s="121"/>
      <c r="KD5" s="121"/>
      <c r="KE5" s="121"/>
      <c r="KF5" s="121"/>
      <c r="KG5" s="121"/>
      <c r="KH5" s="121"/>
      <c r="KI5" s="121"/>
      <c r="KJ5" s="121"/>
      <c r="KK5" s="121"/>
      <c r="KL5" s="121"/>
      <c r="KM5" s="121"/>
      <c r="KN5" s="121"/>
      <c r="KO5" s="121"/>
      <c r="KP5" s="121"/>
      <c r="KQ5" s="121"/>
      <c r="KR5" s="121"/>
      <c r="KS5" s="121"/>
      <c r="KT5" s="121"/>
      <c r="KU5" s="121"/>
      <c r="KV5" s="121"/>
      <c r="KW5" s="121"/>
      <c r="KX5" s="121"/>
    </row>
    <row r="6" spans="2:310" ht="20.100000000000001" customHeight="1">
      <c r="B6" s="250" t="s">
        <v>47</v>
      </c>
      <c r="C6" s="250"/>
      <c r="D6" s="251"/>
      <c r="E6" s="130" t="s">
        <v>48</v>
      </c>
      <c r="F6" s="129"/>
      <c r="G6" s="121"/>
      <c r="H6" s="121"/>
      <c r="I6" s="127"/>
      <c r="J6" s="58"/>
      <c r="K6" s="121"/>
      <c r="L6" s="121"/>
      <c r="M6" s="121"/>
      <c r="N6" s="121"/>
      <c r="O6" s="121"/>
      <c r="P6" s="121"/>
      <c r="Q6" s="121"/>
      <c r="R6" s="121"/>
      <c r="S6" s="121"/>
      <c r="T6" s="121"/>
      <c r="U6" s="121"/>
      <c r="V6" s="121"/>
      <c r="W6" s="121"/>
      <c r="X6" s="121"/>
      <c r="Y6" s="121"/>
      <c r="Z6" s="121"/>
      <c r="AA6" s="121"/>
      <c r="AB6" s="121"/>
      <c r="AC6" s="121"/>
      <c r="AD6" s="121"/>
      <c r="AE6" s="121"/>
      <c r="AF6" s="121"/>
      <c r="AG6" s="121"/>
      <c r="AZ6" s="120"/>
      <c r="BA6" s="120"/>
      <c r="BB6" s="120"/>
      <c r="BC6" s="120"/>
      <c r="BD6" s="120"/>
      <c r="BE6" s="120"/>
      <c r="BF6" s="120"/>
      <c r="BG6" s="120"/>
      <c r="BH6" s="120"/>
      <c r="BI6" s="120"/>
      <c r="BJ6" s="120"/>
      <c r="BK6" s="120"/>
      <c r="BL6" s="120"/>
      <c r="BM6" s="120"/>
      <c r="BN6" s="120"/>
      <c r="BO6" s="120"/>
      <c r="BP6" s="120"/>
      <c r="BQ6" s="120"/>
      <c r="JO6" s="121"/>
      <c r="JP6" s="121"/>
      <c r="JQ6" s="121"/>
      <c r="JR6" s="121"/>
      <c r="JS6" s="121"/>
      <c r="JT6" s="121"/>
      <c r="JU6" s="121"/>
      <c r="JV6" s="121"/>
      <c r="JW6" s="121"/>
      <c r="JX6" s="121"/>
      <c r="JY6" s="121"/>
      <c r="JZ6" s="121"/>
      <c r="KA6" s="121"/>
      <c r="KB6" s="121"/>
      <c r="KC6" s="121"/>
      <c r="KD6" s="121"/>
      <c r="KE6" s="121"/>
      <c r="KF6" s="121"/>
      <c r="KG6" s="121"/>
      <c r="KH6" s="121"/>
      <c r="KI6" s="121"/>
      <c r="KJ6" s="121"/>
      <c r="KK6" s="121"/>
      <c r="KL6" s="121"/>
      <c r="KM6" s="121"/>
      <c r="KN6" s="121"/>
      <c r="KO6" s="121"/>
      <c r="KP6" s="121"/>
      <c r="KQ6" s="121"/>
      <c r="KR6" s="121"/>
      <c r="KS6" s="121"/>
      <c r="KT6" s="121"/>
      <c r="KU6" s="121"/>
      <c r="KV6" s="121"/>
      <c r="KW6" s="121"/>
      <c r="KX6" s="121"/>
    </row>
    <row r="7" spans="2:310" ht="20.100000000000001" customHeight="1">
      <c r="B7" s="250" t="s">
        <v>187</v>
      </c>
      <c r="C7" s="250"/>
      <c r="D7" s="251"/>
      <c r="E7" s="131">
        <v>1.5</v>
      </c>
      <c r="F7" s="129"/>
      <c r="G7" s="121"/>
      <c r="H7" s="132"/>
      <c r="I7" s="127"/>
      <c r="J7" s="58"/>
      <c r="K7" s="121"/>
      <c r="L7" s="121"/>
      <c r="M7" s="121"/>
      <c r="N7" s="121"/>
      <c r="O7" s="121"/>
      <c r="P7" s="121"/>
      <c r="Q7" s="121"/>
      <c r="R7" s="121"/>
      <c r="S7" s="121"/>
      <c r="T7" s="121"/>
      <c r="U7" s="121"/>
      <c r="V7" s="121"/>
      <c r="W7" s="121"/>
      <c r="X7" s="121"/>
      <c r="Y7" s="121"/>
      <c r="Z7" s="121"/>
      <c r="AA7" s="121"/>
      <c r="AB7" s="121"/>
      <c r="AC7" s="121"/>
      <c r="AD7" s="121"/>
      <c r="AE7" s="121"/>
      <c r="AF7" s="121"/>
      <c r="AG7" s="121"/>
      <c r="AZ7" s="120"/>
      <c r="BA7" s="120"/>
      <c r="BB7" s="120"/>
      <c r="BC7" s="120"/>
      <c r="BD7" s="120"/>
      <c r="BE7" s="120"/>
      <c r="BF7" s="120"/>
      <c r="BG7" s="120"/>
      <c r="BH7" s="120"/>
      <c r="BI7" s="120"/>
      <c r="BJ7" s="120"/>
      <c r="BK7" s="120"/>
      <c r="BL7" s="120"/>
      <c r="BM7" s="120"/>
      <c r="BN7" s="120"/>
      <c r="BO7" s="120"/>
      <c r="BP7" s="120"/>
      <c r="BQ7" s="120"/>
      <c r="JO7" s="121"/>
      <c r="JP7" s="121"/>
      <c r="JQ7" s="121"/>
      <c r="JR7" s="121"/>
      <c r="JS7" s="121"/>
      <c r="JT7" s="121"/>
      <c r="JU7" s="121"/>
      <c r="JV7" s="121"/>
      <c r="JW7" s="121"/>
      <c r="JX7" s="121"/>
      <c r="JY7" s="121"/>
      <c r="JZ7" s="121"/>
      <c r="KA7" s="121"/>
      <c r="KB7" s="121"/>
      <c r="KC7" s="121"/>
      <c r="KD7" s="121"/>
      <c r="KE7" s="121"/>
      <c r="KF7" s="121"/>
      <c r="KG7" s="121"/>
      <c r="KH7" s="121"/>
      <c r="KI7" s="121"/>
      <c r="KJ7" s="121"/>
      <c r="KK7" s="121"/>
      <c r="KL7" s="121"/>
      <c r="KM7" s="121"/>
      <c r="KN7" s="121"/>
      <c r="KO7" s="121"/>
      <c r="KP7" s="121"/>
      <c r="KQ7" s="121"/>
      <c r="KR7" s="121"/>
      <c r="KS7" s="121"/>
      <c r="KT7" s="121"/>
      <c r="KU7" s="121"/>
      <c r="KV7" s="121"/>
      <c r="KW7" s="121"/>
      <c r="KX7" s="121"/>
    </row>
    <row r="8" spans="2:310" ht="20.100000000000001" hidden="1" customHeight="1">
      <c r="B8" s="250" t="s">
        <v>188</v>
      </c>
      <c r="C8" s="250"/>
      <c r="D8" s="251"/>
      <c r="E8" s="134">
        <v>1.2</v>
      </c>
      <c r="F8" s="129"/>
      <c r="G8" s="121"/>
      <c r="H8" s="121"/>
      <c r="I8" s="127"/>
      <c r="J8" s="58"/>
      <c r="K8" s="121"/>
      <c r="L8" s="121"/>
      <c r="M8" s="121"/>
      <c r="N8" s="121"/>
      <c r="O8" s="121"/>
      <c r="P8" s="121"/>
      <c r="Q8" s="121"/>
      <c r="R8" s="121"/>
      <c r="S8" s="121"/>
      <c r="T8" s="121"/>
      <c r="U8" s="121"/>
      <c r="V8" s="121"/>
      <c r="W8" s="121"/>
      <c r="X8" s="121"/>
      <c r="Y8" s="121"/>
      <c r="Z8" s="121"/>
      <c r="AA8" s="121"/>
      <c r="AB8" s="121"/>
      <c r="AC8" s="121"/>
      <c r="AD8" s="121"/>
      <c r="AE8" s="121"/>
      <c r="AF8" s="121"/>
      <c r="AG8" s="121"/>
      <c r="AZ8" s="120"/>
      <c r="BA8" s="120"/>
      <c r="BB8" s="120"/>
      <c r="BC8" s="120"/>
      <c r="BD8" s="120"/>
      <c r="BE8" s="120"/>
      <c r="BF8" s="120"/>
      <c r="BG8" s="120"/>
      <c r="BH8" s="120"/>
      <c r="BI8" s="120"/>
      <c r="BJ8" s="120"/>
      <c r="BK8" s="120"/>
      <c r="BL8" s="120"/>
      <c r="BM8" s="120"/>
      <c r="BN8" s="120"/>
      <c r="BO8" s="120"/>
      <c r="BP8" s="120"/>
      <c r="BQ8" s="120"/>
      <c r="JO8" s="121"/>
      <c r="JP8" s="121"/>
      <c r="JQ8" s="121"/>
      <c r="JR8" s="121"/>
      <c r="JS8" s="121"/>
      <c r="JT8" s="121"/>
      <c r="JU8" s="121"/>
      <c r="JV8" s="121"/>
      <c r="JW8" s="121"/>
      <c r="JX8" s="121"/>
      <c r="JY8" s="121"/>
      <c r="JZ8" s="121"/>
      <c r="KA8" s="121"/>
      <c r="KB8" s="121"/>
      <c r="KC8" s="121"/>
      <c r="KD8" s="121"/>
      <c r="KE8" s="121"/>
      <c r="KF8" s="121"/>
      <c r="KG8" s="121"/>
      <c r="KH8" s="121"/>
      <c r="KI8" s="121"/>
      <c r="KJ8" s="121"/>
      <c r="KK8" s="121"/>
      <c r="KL8" s="121"/>
      <c r="KM8" s="121"/>
      <c r="KN8" s="121"/>
      <c r="KO8" s="121"/>
      <c r="KP8" s="121"/>
      <c r="KQ8" s="121"/>
      <c r="KR8" s="121"/>
      <c r="KS8" s="121"/>
      <c r="KT8" s="121"/>
      <c r="KU8" s="121"/>
      <c r="KV8" s="121"/>
      <c r="KW8" s="121"/>
      <c r="KX8" s="121"/>
    </row>
    <row r="9" spans="2:310" ht="20.100000000000001" hidden="1" customHeight="1">
      <c r="B9" s="250" t="s">
        <v>46</v>
      </c>
      <c r="C9" s="250"/>
      <c r="D9" s="251"/>
      <c r="E9" s="137">
        <v>75</v>
      </c>
      <c r="F9" s="129" t="str">
        <f>IF(E9&gt;75.9,"No phosphorus impact on yield is considered","")</f>
        <v/>
      </c>
      <c r="G9" s="121"/>
      <c r="H9" s="121"/>
      <c r="I9" s="127"/>
      <c r="J9" s="58"/>
      <c r="K9" s="121"/>
      <c r="L9" s="121"/>
      <c r="M9" s="121"/>
      <c r="N9" s="121"/>
      <c r="O9" s="121"/>
      <c r="P9" s="121"/>
      <c r="Q9" s="121"/>
      <c r="R9" s="121"/>
      <c r="S9" s="121"/>
      <c r="T9" s="121"/>
      <c r="U9" s="121"/>
      <c r="V9" s="121"/>
      <c r="W9" s="121"/>
      <c r="X9" s="121"/>
      <c r="Y9" s="121"/>
      <c r="Z9" s="121"/>
      <c r="AA9" s="121"/>
      <c r="AB9" s="121"/>
      <c r="AC9" s="121"/>
      <c r="AD9" s="121"/>
      <c r="AE9" s="121"/>
      <c r="AF9" s="121"/>
      <c r="AG9" s="121"/>
      <c r="AZ9" s="120"/>
      <c r="BA9" s="120"/>
      <c r="BB9" s="120"/>
      <c r="BC9" s="120"/>
      <c r="BD9" s="120"/>
      <c r="BE9" s="120"/>
      <c r="BF9" s="120"/>
      <c r="BG9" s="120"/>
      <c r="BH9" s="120"/>
      <c r="BI9" s="120"/>
      <c r="BJ9" s="120"/>
      <c r="BK9" s="120"/>
      <c r="BL9" s="120"/>
      <c r="BM9" s="120"/>
      <c r="BN9" s="120"/>
      <c r="BO9" s="120"/>
      <c r="BP9" s="120"/>
      <c r="BQ9" s="120"/>
      <c r="JO9" s="121"/>
      <c r="JP9" s="121"/>
      <c r="JQ9" s="121"/>
      <c r="JR9" s="121"/>
      <c r="JS9" s="121"/>
      <c r="JT9" s="121"/>
      <c r="JU9" s="121"/>
      <c r="JV9" s="121"/>
      <c r="JW9" s="121"/>
      <c r="JX9" s="121"/>
      <c r="JY9" s="121"/>
      <c r="JZ9" s="121"/>
      <c r="KA9" s="121"/>
      <c r="KB9" s="121"/>
      <c r="KC9" s="121"/>
      <c r="KD9" s="121"/>
      <c r="KE9" s="121"/>
      <c r="KF9" s="121"/>
      <c r="KG9" s="121"/>
      <c r="KH9" s="121"/>
      <c r="KI9" s="121"/>
      <c r="KJ9" s="121"/>
      <c r="KK9" s="121"/>
      <c r="KL9" s="121"/>
      <c r="KM9" s="121"/>
      <c r="KN9" s="121"/>
      <c r="KO9" s="121"/>
      <c r="KP9" s="121"/>
      <c r="KQ9" s="121"/>
      <c r="KR9" s="121"/>
      <c r="KS9" s="121"/>
      <c r="KT9" s="121"/>
      <c r="KU9" s="121"/>
      <c r="KV9" s="121"/>
      <c r="KW9" s="121"/>
      <c r="KX9" s="121"/>
    </row>
    <row r="10" spans="2:310" ht="20.100000000000001" customHeight="1">
      <c r="B10" s="250" t="s">
        <v>4</v>
      </c>
      <c r="C10" s="250"/>
      <c r="D10" s="251"/>
      <c r="E10" s="131">
        <v>0.16</v>
      </c>
      <c r="F10" s="129"/>
      <c r="G10" s="121"/>
      <c r="H10" s="121"/>
      <c r="I10" s="127"/>
      <c r="J10" s="58"/>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Z10" s="120"/>
      <c r="BA10" s="120"/>
      <c r="BB10" s="120"/>
      <c r="BC10" s="120"/>
      <c r="BD10" s="120"/>
      <c r="BE10" s="120"/>
      <c r="BF10" s="120"/>
      <c r="BG10" s="120"/>
      <c r="BH10" s="120"/>
      <c r="BI10" s="120"/>
      <c r="BJ10" s="120"/>
      <c r="BK10" s="120"/>
      <c r="BL10" s="120"/>
      <c r="BM10" s="120"/>
      <c r="BN10" s="120"/>
      <c r="BO10" s="120"/>
      <c r="BP10" s="120"/>
      <c r="BQ10" s="120"/>
      <c r="JO10" s="121"/>
      <c r="JP10" s="121"/>
      <c r="JQ10" s="121"/>
      <c r="JR10" s="121"/>
      <c r="JS10" s="121"/>
      <c r="JT10" s="121"/>
      <c r="JU10" s="121"/>
      <c r="JV10" s="121"/>
      <c r="JW10" s="121"/>
      <c r="JX10" s="121"/>
      <c r="JY10" s="121"/>
      <c r="JZ10" s="121"/>
      <c r="KA10" s="121"/>
      <c r="KB10" s="121"/>
      <c r="KC10" s="121"/>
      <c r="KD10" s="121"/>
      <c r="KE10" s="121"/>
      <c r="KF10" s="121"/>
      <c r="KG10" s="121"/>
      <c r="KH10" s="121"/>
      <c r="KI10" s="121"/>
      <c r="KJ10" s="121"/>
      <c r="KK10" s="121"/>
      <c r="KL10" s="121"/>
      <c r="KM10" s="121"/>
      <c r="KN10" s="121"/>
      <c r="KO10" s="121"/>
      <c r="KP10" s="121"/>
      <c r="KQ10" s="121"/>
      <c r="KR10" s="121"/>
      <c r="KS10" s="121"/>
      <c r="KT10" s="121"/>
      <c r="KU10" s="121"/>
      <c r="KV10" s="121"/>
      <c r="KW10" s="121"/>
      <c r="KX10" s="121"/>
    </row>
    <row r="11" spans="2:310" ht="20.100000000000001" hidden="1" customHeight="1">
      <c r="B11" s="250" t="s">
        <v>6</v>
      </c>
      <c r="C11" s="250"/>
      <c r="D11" s="251"/>
      <c r="E11" s="130">
        <f>COUNTIF(D78:D83,"&gt;0")</f>
        <v>5</v>
      </c>
      <c r="F11" s="129"/>
      <c r="G11" s="121"/>
      <c r="H11" s="121"/>
      <c r="I11" s="127"/>
      <c r="J11" s="127"/>
      <c r="K11" s="121"/>
      <c r="L11" s="121"/>
      <c r="M11" s="121"/>
      <c r="N11" s="121"/>
      <c r="O11" s="121"/>
      <c r="P11" s="121"/>
      <c r="Q11" s="121"/>
      <c r="R11" s="121"/>
      <c r="S11" s="121"/>
      <c r="T11" s="121"/>
      <c r="U11" s="121"/>
      <c r="V11" s="121"/>
      <c r="W11" s="121"/>
      <c r="X11" s="121"/>
      <c r="Y11" s="121"/>
      <c r="Z11" s="121"/>
      <c r="AA11" s="121"/>
      <c r="AB11" s="121"/>
      <c r="AC11" s="121"/>
      <c r="AD11" s="121"/>
      <c r="AE11" s="121"/>
      <c r="AF11" s="121"/>
      <c r="AG11" s="121"/>
      <c r="AZ11" s="120"/>
      <c r="BA11" s="120"/>
      <c r="BB11" s="120"/>
      <c r="BC11" s="120"/>
      <c r="BD11" s="120"/>
      <c r="BE11" s="120"/>
      <c r="BF11" s="120"/>
      <c r="BG11" s="120"/>
      <c r="BH11" s="120"/>
      <c r="BI11" s="120"/>
      <c r="BJ11" s="120"/>
      <c r="BK11" s="120"/>
      <c r="BL11" s="120"/>
      <c r="BM11" s="120"/>
      <c r="BN11" s="120"/>
      <c r="BO11" s="120"/>
      <c r="BP11" s="120"/>
      <c r="BQ11" s="120"/>
      <c r="JO11" s="121"/>
      <c r="JP11" s="121"/>
      <c r="JQ11" s="121"/>
      <c r="JR11" s="121"/>
      <c r="JS11" s="121"/>
      <c r="JT11" s="121"/>
      <c r="JU11" s="121"/>
      <c r="JV11" s="121"/>
      <c r="JW11" s="121"/>
      <c r="JX11" s="121"/>
      <c r="JY11" s="121"/>
      <c r="JZ11" s="121"/>
      <c r="KA11" s="121"/>
      <c r="KB11" s="121"/>
      <c r="KC11" s="121"/>
      <c r="KD11" s="121"/>
      <c r="KE11" s="121"/>
      <c r="KF11" s="121"/>
      <c r="KG11" s="121"/>
      <c r="KH11" s="121"/>
      <c r="KI11" s="121"/>
      <c r="KJ11" s="121"/>
      <c r="KK11" s="121"/>
      <c r="KL11" s="121"/>
      <c r="KM11" s="121"/>
      <c r="KN11" s="121"/>
      <c r="KO11" s="121"/>
      <c r="KP11" s="121"/>
      <c r="KQ11" s="121"/>
      <c r="KR11" s="121"/>
      <c r="KS11" s="121"/>
      <c r="KT11" s="121"/>
      <c r="KU11" s="121"/>
      <c r="KV11" s="121"/>
      <c r="KW11" s="121"/>
      <c r="KX11" s="121"/>
    </row>
    <row r="12" spans="2:310" ht="20.100000000000001" customHeight="1">
      <c r="B12" s="249" t="s">
        <v>0</v>
      </c>
      <c r="C12" s="249"/>
      <c r="D12" s="249"/>
      <c r="E12" s="138" t="s">
        <v>1</v>
      </c>
      <c r="F12" s="121"/>
      <c r="G12" s="121"/>
      <c r="H12" s="121"/>
      <c r="I12" s="127"/>
      <c r="J12" s="127"/>
      <c r="K12" s="121"/>
      <c r="L12" s="121"/>
      <c r="M12" s="121"/>
      <c r="N12" s="121"/>
      <c r="O12" s="121"/>
      <c r="P12" s="121"/>
      <c r="Q12" s="121"/>
      <c r="R12" s="121"/>
      <c r="S12" s="121"/>
      <c r="T12" s="121"/>
      <c r="U12" s="121"/>
      <c r="V12" s="121"/>
      <c r="W12" s="121"/>
      <c r="X12" s="121"/>
      <c r="Y12" s="121"/>
      <c r="Z12" s="121"/>
      <c r="AA12" s="121"/>
      <c r="AB12" s="121"/>
      <c r="AC12" s="121"/>
      <c r="AD12" s="121"/>
      <c r="AE12" s="121"/>
      <c r="AF12" s="121"/>
      <c r="AG12" s="121"/>
      <c r="AZ12" s="120"/>
      <c r="BA12" s="120"/>
      <c r="BB12" s="120"/>
      <c r="BC12" s="120"/>
      <c r="BD12" s="120"/>
      <c r="BE12" s="120"/>
      <c r="BF12" s="120"/>
      <c r="BG12" s="120"/>
      <c r="BH12" s="120"/>
      <c r="BI12" s="120"/>
      <c r="BJ12" s="120"/>
      <c r="BK12" s="120"/>
      <c r="BL12" s="120"/>
      <c r="BM12" s="120"/>
      <c r="BN12" s="120"/>
      <c r="BO12" s="120"/>
      <c r="BP12" s="120"/>
      <c r="BQ12" s="120"/>
      <c r="JO12" s="121"/>
      <c r="JP12" s="121"/>
      <c r="JQ12" s="121"/>
      <c r="JR12" s="121"/>
      <c r="JS12" s="121"/>
      <c r="JT12" s="121"/>
      <c r="JU12" s="121"/>
      <c r="JV12" s="121"/>
      <c r="JW12" s="121"/>
      <c r="JX12" s="121"/>
      <c r="JY12" s="121"/>
      <c r="JZ12" s="121"/>
      <c r="KA12" s="121"/>
      <c r="KB12" s="121"/>
      <c r="KC12" s="121"/>
      <c r="KD12" s="121"/>
      <c r="KE12" s="121"/>
      <c r="KF12" s="121"/>
      <c r="KG12" s="121"/>
      <c r="KH12" s="121"/>
      <c r="KI12" s="121"/>
      <c r="KJ12" s="121"/>
      <c r="KK12" s="121"/>
      <c r="KL12" s="121"/>
      <c r="KM12" s="121"/>
      <c r="KN12" s="121"/>
      <c r="KO12" s="121"/>
      <c r="KP12" s="121"/>
      <c r="KQ12" s="121"/>
      <c r="KR12" s="121"/>
      <c r="KS12" s="121"/>
      <c r="KT12" s="121"/>
      <c r="KU12" s="121"/>
      <c r="KV12" s="121"/>
      <c r="KW12" s="121"/>
      <c r="KX12" s="121"/>
    </row>
    <row r="13" spans="2:310" ht="20.100000000000001" customHeight="1" thickBot="1">
      <c r="B13" s="121"/>
      <c r="C13" s="121"/>
      <c r="D13" s="121"/>
      <c r="E13" s="125"/>
      <c r="F13" s="300" t="s">
        <v>8</v>
      </c>
      <c r="G13" s="300"/>
      <c r="H13" s="121"/>
      <c r="I13" s="255" t="s">
        <v>223</v>
      </c>
      <c r="J13" s="255"/>
      <c r="K13" s="121"/>
      <c r="L13" s="121"/>
      <c r="M13" s="121"/>
      <c r="N13" s="121"/>
      <c r="O13" s="121"/>
      <c r="P13" s="121"/>
      <c r="Q13" s="121"/>
      <c r="R13" s="121"/>
      <c r="S13" s="121"/>
      <c r="T13" s="121"/>
      <c r="U13" s="121"/>
      <c r="V13" s="121"/>
      <c r="W13" s="121"/>
      <c r="X13" s="121"/>
      <c r="Y13" s="121"/>
      <c r="Z13" s="121"/>
      <c r="AA13" s="121"/>
      <c r="AB13" s="121"/>
      <c r="AC13" s="121"/>
      <c r="AD13" s="121"/>
      <c r="AE13" s="121"/>
      <c r="AF13" s="121"/>
      <c r="AG13" s="121"/>
      <c r="AZ13" s="120"/>
      <c r="BA13" s="120"/>
      <c r="BB13" s="120"/>
      <c r="BC13" s="120"/>
      <c r="BD13" s="120"/>
      <c r="BE13" s="120"/>
      <c r="BF13" s="120"/>
      <c r="BG13" s="120"/>
      <c r="BH13" s="120"/>
      <c r="BI13" s="120"/>
      <c r="BJ13" s="120"/>
      <c r="BK13" s="120"/>
      <c r="BL13" s="120"/>
      <c r="BM13" s="120"/>
      <c r="BN13" s="120"/>
      <c r="BO13" s="120"/>
      <c r="BP13" s="120"/>
      <c r="BQ13" s="120"/>
      <c r="JO13" s="121"/>
      <c r="JP13" s="121"/>
      <c r="JQ13" s="121"/>
      <c r="JR13" s="121"/>
      <c r="JS13" s="121"/>
      <c r="JT13" s="121"/>
      <c r="JU13" s="121"/>
      <c r="JV13" s="121"/>
      <c r="JW13" s="121"/>
      <c r="JX13" s="121"/>
      <c r="JY13" s="121"/>
      <c r="JZ13" s="121"/>
      <c r="KA13" s="121"/>
      <c r="KB13" s="121"/>
      <c r="KC13" s="121"/>
      <c r="KD13" s="121"/>
      <c r="KE13" s="121"/>
      <c r="KF13" s="121"/>
      <c r="KG13" s="121"/>
      <c r="KH13" s="121"/>
      <c r="KI13" s="121"/>
      <c r="KJ13" s="121"/>
      <c r="KK13" s="121"/>
      <c r="KL13" s="121"/>
      <c r="KM13" s="121"/>
      <c r="KN13" s="121"/>
      <c r="KO13" s="121"/>
      <c r="KP13" s="121"/>
      <c r="KQ13" s="121"/>
      <c r="KR13" s="121"/>
      <c r="KS13" s="121"/>
      <c r="KT13" s="121"/>
      <c r="KU13" s="121"/>
      <c r="KV13" s="121"/>
      <c r="KW13" s="121"/>
      <c r="KX13" s="121"/>
    </row>
    <row r="14" spans="2:310" ht="20.100000000000001" customHeight="1">
      <c r="B14" s="117" t="s">
        <v>222</v>
      </c>
      <c r="C14" s="265" t="s">
        <v>172</v>
      </c>
      <c r="D14" s="266"/>
      <c r="E14" s="139" t="s">
        <v>189</v>
      </c>
      <c r="F14" s="140" t="s">
        <v>88</v>
      </c>
      <c r="G14" s="139" t="s">
        <v>221</v>
      </c>
      <c r="H14" s="141"/>
      <c r="I14" s="140" t="s">
        <v>9</v>
      </c>
      <c r="J14" s="142" t="s">
        <v>221</v>
      </c>
      <c r="K14" s="121"/>
      <c r="L14" s="121"/>
      <c r="M14" s="121"/>
      <c r="N14" s="121"/>
      <c r="O14" s="121"/>
      <c r="P14" s="121"/>
      <c r="Q14" s="121"/>
      <c r="R14" s="121"/>
      <c r="S14" s="121"/>
      <c r="T14" s="121"/>
      <c r="U14" s="121"/>
      <c r="V14" s="121"/>
      <c r="W14" s="121"/>
      <c r="X14" s="121"/>
      <c r="Y14" s="121"/>
      <c r="Z14" s="121"/>
      <c r="AA14" s="121"/>
      <c r="AB14" s="121"/>
      <c r="AC14" s="121"/>
      <c r="AD14" s="121"/>
      <c r="AE14" s="121"/>
      <c r="AF14" s="121"/>
      <c r="AG14" s="121"/>
      <c r="AZ14" s="120"/>
      <c r="BA14" s="120"/>
      <c r="BB14" s="120"/>
      <c r="BC14" s="120"/>
      <c r="BD14" s="120"/>
      <c r="BE14" s="120"/>
      <c r="BF14" s="120"/>
      <c r="BG14" s="120"/>
      <c r="BH14" s="120"/>
      <c r="BI14" s="120"/>
      <c r="BJ14" s="120"/>
      <c r="BK14" s="120"/>
      <c r="BL14" s="120"/>
      <c r="BM14" s="120"/>
      <c r="BN14" s="120"/>
      <c r="BO14" s="120"/>
      <c r="BP14" s="120"/>
      <c r="BQ14" s="120"/>
      <c r="JO14" s="121"/>
      <c r="JP14" s="121"/>
      <c r="JQ14" s="121"/>
      <c r="JR14" s="121"/>
      <c r="JS14" s="121"/>
      <c r="JT14" s="121"/>
      <c r="JU14" s="121"/>
      <c r="JV14" s="121"/>
      <c r="JW14" s="121"/>
      <c r="JX14" s="121"/>
      <c r="JY14" s="121"/>
      <c r="JZ14" s="121"/>
      <c r="KA14" s="121"/>
      <c r="KB14" s="121"/>
      <c r="KC14" s="121"/>
      <c r="KD14" s="121"/>
      <c r="KE14" s="121"/>
      <c r="KF14" s="121"/>
      <c r="KG14" s="121"/>
      <c r="KH14" s="121"/>
      <c r="KI14" s="121"/>
      <c r="KJ14" s="121"/>
      <c r="KK14" s="121"/>
      <c r="KL14" s="121"/>
      <c r="KM14" s="121"/>
      <c r="KN14" s="121"/>
      <c r="KO14" s="121"/>
      <c r="KP14" s="121"/>
      <c r="KQ14" s="121"/>
      <c r="KR14" s="121"/>
      <c r="KS14" s="121"/>
      <c r="KT14" s="121"/>
      <c r="KU14" s="121"/>
      <c r="KV14" s="121"/>
      <c r="KW14" s="121"/>
      <c r="KX14" s="121"/>
    </row>
    <row r="15" spans="2:310" ht="20.100000000000001" customHeight="1">
      <c r="B15" s="118">
        <f>IF(C15&gt;0,1," ")</f>
        <v>1</v>
      </c>
      <c r="C15" s="119">
        <v>23</v>
      </c>
      <c r="D15" s="119">
        <v>41</v>
      </c>
      <c r="E15" s="145">
        <v>3300</v>
      </c>
      <c r="F15" s="146">
        <f>I15*1.5</f>
        <v>0.59343228161412942</v>
      </c>
      <c r="G15" s="131">
        <v>398.06808750000005</v>
      </c>
      <c r="H15" s="141"/>
      <c r="I15" s="147">
        <f>IFERROR(VLOOKUP($E$12,$Y$51:$Z$52,2,FALSE)*E15/10000,"")</f>
        <v>0.39562152107608628</v>
      </c>
      <c r="J15" s="148">
        <v>403.74493250000006</v>
      </c>
      <c r="K15" s="121"/>
      <c r="L15" s="121"/>
      <c r="M15" s="121"/>
      <c r="N15" s="121"/>
      <c r="O15" s="121"/>
      <c r="P15" s="121"/>
      <c r="Q15" s="121"/>
      <c r="R15" s="121"/>
      <c r="S15" s="121"/>
      <c r="T15" s="121"/>
      <c r="U15" s="121"/>
      <c r="V15" s="121"/>
      <c r="W15" s="121"/>
      <c r="X15" s="121"/>
      <c r="Y15" s="121"/>
      <c r="Z15" s="121"/>
      <c r="AA15" s="121"/>
      <c r="AB15" s="121"/>
      <c r="AC15" s="121"/>
      <c r="AD15" s="121"/>
      <c r="AE15" s="121"/>
      <c r="AF15" s="121"/>
      <c r="AG15" s="121"/>
      <c r="AZ15" s="120"/>
      <c r="BA15" s="120"/>
      <c r="BB15" s="120"/>
      <c r="BC15" s="120"/>
      <c r="BD15" s="120"/>
      <c r="BE15" s="120"/>
      <c r="BF15" s="120"/>
      <c r="BG15" s="120"/>
      <c r="BH15" s="120"/>
      <c r="BI15" s="120"/>
      <c r="BJ15" s="120"/>
      <c r="BK15" s="120"/>
      <c r="BL15" s="120"/>
      <c r="BM15" s="120"/>
      <c r="BN15" s="120"/>
      <c r="BO15" s="120"/>
      <c r="BP15" s="120"/>
      <c r="BQ15" s="120"/>
      <c r="JO15" s="121"/>
      <c r="JP15" s="121"/>
      <c r="JQ15" s="121"/>
      <c r="JR15" s="121"/>
      <c r="JS15" s="121"/>
      <c r="JT15" s="121"/>
      <c r="JU15" s="121"/>
      <c r="JV15" s="121"/>
      <c r="JW15" s="121"/>
      <c r="JX15" s="121"/>
      <c r="JY15" s="121"/>
      <c r="JZ15" s="121"/>
      <c r="KA15" s="121"/>
      <c r="KB15" s="121"/>
      <c r="KC15" s="121"/>
      <c r="KD15" s="121"/>
      <c r="KE15" s="121"/>
      <c r="KF15" s="121"/>
      <c r="KG15" s="121"/>
      <c r="KH15" s="121"/>
      <c r="KI15" s="121"/>
      <c r="KJ15" s="121"/>
      <c r="KK15" s="121"/>
      <c r="KL15" s="121"/>
      <c r="KM15" s="121"/>
      <c r="KN15" s="121"/>
      <c r="KO15" s="121"/>
      <c r="KP15" s="121"/>
      <c r="KQ15" s="121"/>
      <c r="KR15" s="121"/>
      <c r="KS15" s="121"/>
      <c r="KT15" s="121"/>
      <c r="KU15" s="121"/>
      <c r="KV15" s="121"/>
      <c r="KW15" s="121"/>
      <c r="KX15" s="121"/>
    </row>
    <row r="16" spans="2:310" ht="20.100000000000001" customHeight="1">
      <c r="B16" s="118">
        <f>IF(D79&gt;0,(B15+1)," ")</f>
        <v>2</v>
      </c>
      <c r="C16" s="118">
        <f>IF(D79&gt;0,D15,"")</f>
        <v>41</v>
      </c>
      <c r="D16" s="119">
        <v>59</v>
      </c>
      <c r="E16" s="145">
        <v>3300</v>
      </c>
      <c r="F16" s="146">
        <f t="shared" ref="F16:F19" si="0">I16*1.5</f>
        <v>0.5296994730069382</v>
      </c>
      <c r="G16" s="131">
        <v>375.25047749999999</v>
      </c>
      <c r="H16" s="141"/>
      <c r="I16" s="147">
        <f>IFERROR(VLOOKUP($E$12,$Y$55:$Z$56,2,FALSE)*E16/10000,"")</f>
        <v>0.35313298200462545</v>
      </c>
      <c r="J16" s="148">
        <v>379.39788125000007</v>
      </c>
      <c r="K16" s="121"/>
      <c r="L16" s="121"/>
      <c r="M16" s="121"/>
      <c r="N16" s="121"/>
      <c r="O16" s="121"/>
      <c r="P16" s="121"/>
      <c r="Q16" s="121"/>
      <c r="R16" s="121"/>
      <c r="S16" s="121"/>
      <c r="T16" s="121"/>
      <c r="U16" s="121"/>
      <c r="V16" s="121"/>
      <c r="W16" s="121"/>
      <c r="X16" s="121"/>
      <c r="Y16" s="121"/>
      <c r="Z16" s="121"/>
      <c r="AA16" s="121"/>
      <c r="AB16" s="121"/>
      <c r="AC16" s="121"/>
      <c r="AD16" s="121"/>
      <c r="AE16" s="121"/>
      <c r="AF16" s="121"/>
      <c r="AG16" s="121"/>
      <c r="AZ16" s="120"/>
      <c r="BA16" s="120"/>
      <c r="BB16" s="120"/>
      <c r="BC16" s="120"/>
      <c r="BD16" s="120"/>
      <c r="BE16" s="120"/>
      <c r="BF16" s="120"/>
      <c r="BG16" s="120"/>
      <c r="BH16" s="120"/>
      <c r="BI16" s="120"/>
      <c r="BJ16" s="120"/>
      <c r="BK16" s="120"/>
      <c r="BL16" s="120"/>
      <c r="BM16" s="120"/>
      <c r="BN16" s="120"/>
      <c r="BO16" s="120"/>
      <c r="BP16" s="120"/>
      <c r="BQ16" s="120"/>
      <c r="JO16" s="121"/>
      <c r="JP16" s="121"/>
      <c r="JQ16" s="121"/>
      <c r="JR16" s="121"/>
      <c r="JS16" s="121"/>
      <c r="JT16" s="121"/>
      <c r="JU16" s="121"/>
      <c r="JV16" s="121"/>
      <c r="JW16" s="121"/>
      <c r="JX16" s="121"/>
      <c r="JY16" s="121"/>
      <c r="JZ16" s="121"/>
      <c r="KA16" s="121"/>
      <c r="KB16" s="121"/>
      <c r="KC16" s="121"/>
      <c r="KD16" s="121"/>
      <c r="KE16" s="121"/>
      <c r="KF16" s="121"/>
      <c r="KG16" s="121"/>
      <c r="KH16" s="121"/>
      <c r="KI16" s="121"/>
      <c r="KJ16" s="121"/>
      <c r="KK16" s="121"/>
      <c r="KL16" s="121"/>
      <c r="KM16" s="121"/>
      <c r="KN16" s="121"/>
      <c r="KO16" s="121"/>
      <c r="KP16" s="121"/>
      <c r="KQ16" s="121"/>
      <c r="KR16" s="121"/>
      <c r="KS16" s="121"/>
      <c r="KT16" s="121"/>
      <c r="KU16" s="121"/>
      <c r="KV16" s="121"/>
      <c r="KW16" s="121"/>
      <c r="KX16" s="121"/>
    </row>
    <row r="17" spans="2:310" ht="20.100000000000001" customHeight="1">
      <c r="B17" s="118">
        <f t="shared" ref="B17:B20" si="1">IF(D80&gt;0,(B16+1)," ")</f>
        <v>3</v>
      </c>
      <c r="C17" s="118">
        <f t="shared" ref="C17:C20" si="2">IF(D80&gt;0,D16,"")</f>
        <v>59</v>
      </c>
      <c r="D17" s="119">
        <v>82</v>
      </c>
      <c r="E17" s="145">
        <v>3300</v>
      </c>
      <c r="F17" s="146">
        <f t="shared" si="0"/>
        <v>0.4690801785680444</v>
      </c>
      <c r="G17" s="131">
        <v>355.29884750000002</v>
      </c>
      <c r="H17" s="141"/>
      <c r="I17" s="147">
        <f>IFERROR(VLOOKUP($E$12,$Y$59:$Z$60,2,FALSE)*E17/10000,"")</f>
        <v>0.31272011904536295</v>
      </c>
      <c r="J17" s="148">
        <v>358.10971249999994</v>
      </c>
      <c r="K17" s="121"/>
      <c r="L17" s="121"/>
      <c r="M17" s="121"/>
      <c r="N17" s="121"/>
      <c r="O17" s="121"/>
      <c r="P17" s="121"/>
      <c r="Q17" s="121"/>
      <c r="R17" s="121"/>
      <c r="S17" s="121"/>
      <c r="T17" s="121"/>
      <c r="U17" s="121"/>
      <c r="V17" s="121"/>
      <c r="W17" s="121"/>
      <c r="X17" s="121"/>
      <c r="Y17" s="121"/>
      <c r="Z17" s="121"/>
      <c r="AA17" s="121"/>
      <c r="AB17" s="121"/>
      <c r="AC17" s="121"/>
      <c r="AD17" s="121"/>
      <c r="AE17" s="121"/>
      <c r="AF17" s="121"/>
      <c r="AG17" s="121"/>
      <c r="AZ17" s="120"/>
      <c r="BA17" s="120"/>
      <c r="BB17" s="120"/>
      <c r="BC17" s="120"/>
      <c r="BD17" s="120"/>
      <c r="BE17" s="120"/>
      <c r="BF17" s="120"/>
      <c r="BG17" s="120"/>
      <c r="BH17" s="120"/>
      <c r="BI17" s="120"/>
      <c r="BJ17" s="120"/>
      <c r="BK17" s="120"/>
      <c r="BL17" s="120"/>
      <c r="BM17" s="120"/>
      <c r="BN17" s="120"/>
      <c r="BO17" s="120"/>
      <c r="BP17" s="120"/>
      <c r="BQ17" s="120"/>
      <c r="JO17" s="121"/>
      <c r="JP17" s="121"/>
      <c r="JQ17" s="121"/>
      <c r="JR17" s="121"/>
      <c r="JS17" s="121"/>
      <c r="JT17" s="121"/>
      <c r="JU17" s="121"/>
      <c r="JV17" s="121"/>
      <c r="JW17" s="121"/>
      <c r="JX17" s="121"/>
      <c r="JY17" s="121"/>
      <c r="JZ17" s="121"/>
      <c r="KA17" s="121"/>
      <c r="KB17" s="121"/>
      <c r="KC17" s="121"/>
      <c r="KD17" s="121"/>
      <c r="KE17" s="121"/>
      <c r="KF17" s="121"/>
      <c r="KG17" s="121"/>
      <c r="KH17" s="121"/>
      <c r="KI17" s="121"/>
      <c r="KJ17" s="121"/>
      <c r="KK17" s="121"/>
      <c r="KL17" s="121"/>
      <c r="KM17" s="121"/>
      <c r="KN17" s="121"/>
      <c r="KO17" s="121"/>
      <c r="KP17" s="121"/>
      <c r="KQ17" s="121"/>
      <c r="KR17" s="121"/>
      <c r="KS17" s="121"/>
      <c r="KT17" s="121"/>
      <c r="KU17" s="121"/>
      <c r="KV17" s="121"/>
      <c r="KW17" s="121"/>
      <c r="KX17" s="121"/>
    </row>
    <row r="18" spans="2:310" ht="20.100000000000001" customHeight="1">
      <c r="B18" s="118">
        <f t="shared" si="1"/>
        <v>4</v>
      </c>
      <c r="C18" s="118">
        <f t="shared" si="2"/>
        <v>82</v>
      </c>
      <c r="D18" s="119">
        <v>104</v>
      </c>
      <c r="E18" s="145">
        <v>3300</v>
      </c>
      <c r="F18" s="146">
        <f t="shared" si="0"/>
        <v>0.41721442919424334</v>
      </c>
      <c r="G18" s="131">
        <v>341.53387624999999</v>
      </c>
      <c r="H18" s="141"/>
      <c r="I18" s="147">
        <f>IFERROR(VLOOKUP($E$12,$Y$63:$Z$64,2,FALSE)*E18/10000,"")</f>
        <v>0.27814295279616225</v>
      </c>
      <c r="J18" s="148">
        <v>343.00820250000004</v>
      </c>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Z18" s="120"/>
      <c r="BA18" s="120"/>
      <c r="BB18" s="120"/>
      <c r="BC18" s="120"/>
      <c r="BD18" s="120"/>
      <c r="BE18" s="120"/>
      <c r="BF18" s="120"/>
      <c r="BG18" s="120"/>
      <c r="BH18" s="120"/>
      <c r="BI18" s="120"/>
      <c r="BJ18" s="120"/>
      <c r="BK18" s="120"/>
      <c r="BL18" s="120"/>
      <c r="BM18" s="120"/>
      <c r="BN18" s="120"/>
      <c r="BO18" s="120"/>
      <c r="BP18" s="120"/>
      <c r="BQ18" s="120"/>
      <c r="JO18" s="121"/>
      <c r="JP18" s="121"/>
      <c r="JQ18" s="121"/>
      <c r="JR18" s="121"/>
      <c r="JS18" s="121"/>
      <c r="JT18" s="121"/>
      <c r="JU18" s="121"/>
      <c r="JV18" s="121"/>
      <c r="JW18" s="121"/>
      <c r="JX18" s="121"/>
      <c r="JY18" s="121"/>
      <c r="JZ18" s="121"/>
      <c r="KA18" s="121"/>
      <c r="KB18" s="121"/>
      <c r="KC18" s="121"/>
      <c r="KD18" s="121"/>
      <c r="KE18" s="121"/>
      <c r="KF18" s="121"/>
      <c r="KG18" s="121"/>
      <c r="KH18" s="121"/>
      <c r="KI18" s="121"/>
      <c r="KJ18" s="121"/>
      <c r="KK18" s="121"/>
      <c r="KL18" s="121"/>
      <c r="KM18" s="121"/>
      <c r="KN18" s="121"/>
      <c r="KO18" s="121"/>
      <c r="KP18" s="121"/>
      <c r="KQ18" s="121"/>
      <c r="KR18" s="121"/>
      <c r="KS18" s="121"/>
      <c r="KT18" s="121"/>
      <c r="KU18" s="121"/>
      <c r="KV18" s="121"/>
      <c r="KW18" s="121"/>
      <c r="KX18" s="121"/>
    </row>
    <row r="19" spans="2:310" ht="20.100000000000001" customHeight="1">
      <c r="B19" s="118">
        <f t="shared" si="1"/>
        <v>5</v>
      </c>
      <c r="C19" s="118">
        <f t="shared" si="2"/>
        <v>104</v>
      </c>
      <c r="D19" s="119">
        <v>130</v>
      </c>
      <c r="E19" s="145">
        <v>3300</v>
      </c>
      <c r="F19" s="146">
        <f t="shared" si="0"/>
        <v>0.37880989527779618</v>
      </c>
      <c r="G19" s="131">
        <v>334.23113875000001</v>
      </c>
      <c r="H19" s="141"/>
      <c r="I19" s="147">
        <f>IFERROR(VLOOKUP($E$12,$Y$67:$Z$68,2,FALSE)*E19/10000,"")</f>
        <v>0.25253993018519744</v>
      </c>
      <c r="J19" s="148">
        <v>334.32758999999999</v>
      </c>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BC19" s="59"/>
      <c r="BD19" s="59"/>
      <c r="BE19" s="59"/>
      <c r="BF19" s="59"/>
      <c r="BG19" s="59"/>
      <c r="JO19" s="121"/>
      <c r="JP19" s="121"/>
      <c r="JQ19" s="121"/>
      <c r="JR19" s="121"/>
      <c r="JS19" s="121"/>
      <c r="JT19" s="121"/>
      <c r="JU19" s="121"/>
      <c r="JV19" s="121"/>
      <c r="JW19" s="121"/>
      <c r="JX19" s="121"/>
      <c r="JY19" s="121"/>
      <c r="JZ19" s="121"/>
      <c r="KA19" s="121"/>
      <c r="KB19" s="121"/>
      <c r="KC19" s="121"/>
      <c r="KD19" s="121"/>
      <c r="KE19" s="121"/>
      <c r="KF19" s="121"/>
      <c r="KG19" s="121"/>
      <c r="KH19" s="121"/>
      <c r="KI19" s="121"/>
      <c r="KJ19" s="121"/>
      <c r="KK19" s="121"/>
      <c r="KL19" s="121"/>
      <c r="KM19" s="121"/>
      <c r="KN19" s="121"/>
      <c r="KO19" s="121"/>
      <c r="KP19" s="121"/>
      <c r="KQ19" s="121"/>
      <c r="KR19" s="121"/>
      <c r="KS19" s="121"/>
      <c r="KT19" s="121"/>
      <c r="KU19" s="121"/>
      <c r="KV19" s="121"/>
      <c r="KW19" s="121"/>
      <c r="KX19" s="121"/>
    </row>
    <row r="20" spans="2:310" ht="20.100000000000001" customHeight="1">
      <c r="B20" s="118" t="str">
        <f t="shared" si="1"/>
        <v xml:space="preserve"> </v>
      </c>
      <c r="C20" s="118" t="str">
        <f t="shared" si="2"/>
        <v/>
      </c>
      <c r="D20" s="119"/>
      <c r="E20" s="145"/>
      <c r="F20" s="146"/>
      <c r="G20" s="131"/>
      <c r="H20" s="141"/>
      <c r="I20" s="147" t="str">
        <f>IFERROR(VLOOKUP($E$12,$Y$72:$Z$73,2,FALSE)*E20/10000,"")</f>
        <v/>
      </c>
      <c r="J20" s="148"/>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JO20" s="121"/>
      <c r="JP20" s="121"/>
      <c r="JQ20" s="121"/>
      <c r="JR20" s="121"/>
      <c r="JS20" s="121"/>
      <c r="JT20" s="121"/>
      <c r="JU20" s="121"/>
      <c r="JV20" s="121"/>
      <c r="JW20" s="121"/>
      <c r="JX20" s="121"/>
      <c r="JY20" s="121"/>
      <c r="JZ20" s="121"/>
      <c r="KA20" s="121"/>
      <c r="KB20" s="121"/>
      <c r="KC20" s="121"/>
      <c r="KD20" s="121"/>
      <c r="KE20" s="121"/>
      <c r="KF20" s="121"/>
    </row>
    <row r="21" spans="2:310" ht="20.100000000000001" customHeight="1">
      <c r="B21" s="121"/>
      <c r="C21" s="121"/>
      <c r="D21" s="129"/>
      <c r="E21" s="121"/>
      <c r="F21" s="127"/>
      <c r="G21" s="121"/>
      <c r="H21" s="121"/>
      <c r="I21" s="121"/>
      <c r="J21" s="121"/>
      <c r="K21" s="121"/>
      <c r="L21" s="127"/>
      <c r="M21" s="121"/>
      <c r="N21" s="121"/>
      <c r="O21" s="121"/>
      <c r="P21" s="121"/>
      <c r="Q21" s="121"/>
      <c r="R21" s="121"/>
      <c r="S21" s="121"/>
      <c r="T21" s="121"/>
      <c r="U21" s="121"/>
      <c r="V21" s="121"/>
      <c r="W21" s="121"/>
      <c r="X21" s="121"/>
      <c r="Y21" s="121"/>
      <c r="Z21" s="121"/>
      <c r="AA21" s="121"/>
      <c r="AB21" s="121"/>
      <c r="AC21" s="121"/>
      <c r="AD21" s="121"/>
      <c r="AE21" s="121"/>
      <c r="AF21" s="121"/>
      <c r="AG21" s="121"/>
      <c r="JO21" s="121"/>
      <c r="JP21" s="121"/>
      <c r="JQ21" s="121"/>
      <c r="JR21" s="121"/>
      <c r="JS21" s="121"/>
      <c r="JT21" s="121"/>
      <c r="JU21" s="121"/>
      <c r="JV21" s="121"/>
      <c r="JW21" s="121"/>
      <c r="JX21" s="121"/>
      <c r="JY21" s="121"/>
      <c r="JZ21" s="121"/>
      <c r="KA21" s="121"/>
      <c r="KB21" s="121"/>
      <c r="KC21" s="121"/>
      <c r="KD21" s="121"/>
      <c r="KE21" s="121"/>
      <c r="KF21" s="121"/>
    </row>
    <row r="22" spans="2:310" ht="20.100000000000001" customHeight="1" thickBot="1">
      <c r="B22" s="121"/>
      <c r="C22" s="121"/>
      <c r="D22" s="121"/>
      <c r="E22" s="121"/>
      <c r="F22" s="121"/>
      <c r="G22" s="121"/>
      <c r="H22" s="121"/>
      <c r="I22" s="121"/>
      <c r="J22" s="121"/>
      <c r="K22" s="121"/>
      <c r="L22" s="121"/>
      <c r="M22" s="121"/>
      <c r="N22" s="121"/>
      <c r="O22" s="121"/>
      <c r="P22" s="121"/>
      <c r="Q22" s="121"/>
      <c r="R22" s="121"/>
      <c r="S22" s="121"/>
      <c r="T22" s="121"/>
      <c r="U22" s="121"/>
      <c r="V22" s="121"/>
      <c r="W22" s="121"/>
      <c r="X22" s="121"/>
      <c r="Y22" s="121"/>
      <c r="Z22" s="121"/>
      <c r="AA22" s="121"/>
      <c r="AB22" s="121"/>
      <c r="AC22" s="121"/>
      <c r="AD22" s="121"/>
      <c r="AE22" s="121"/>
      <c r="AF22" s="121"/>
      <c r="AG22" s="121"/>
      <c r="JO22" s="121"/>
      <c r="JP22" s="121"/>
      <c r="JQ22" s="121"/>
      <c r="JR22" s="121"/>
      <c r="JS22" s="121"/>
      <c r="JT22" s="121"/>
      <c r="JU22" s="121"/>
      <c r="JV22" s="121"/>
      <c r="JW22" s="121"/>
      <c r="JX22" s="121"/>
      <c r="JY22" s="121"/>
      <c r="JZ22" s="121"/>
      <c r="KA22" s="121"/>
      <c r="KB22" s="121"/>
      <c r="KC22" s="121"/>
      <c r="KD22" s="121"/>
      <c r="KE22" s="121"/>
      <c r="KF22" s="121"/>
    </row>
    <row r="23" spans="2:310" s="189" customFormat="1" ht="24.95" customHeight="1" thickBot="1">
      <c r="B23" s="267" t="s">
        <v>224</v>
      </c>
      <c r="C23" s="268"/>
      <c r="D23" s="268"/>
      <c r="E23" s="268"/>
      <c r="F23" s="268"/>
      <c r="G23" s="268"/>
      <c r="H23" s="268"/>
      <c r="I23" s="268"/>
      <c r="J23" s="269"/>
      <c r="K23" s="190"/>
      <c r="L23" s="191"/>
      <c r="M23" s="191"/>
      <c r="N23" s="191"/>
      <c r="O23" s="191"/>
      <c r="P23" s="191"/>
      <c r="Q23" s="191"/>
      <c r="R23" s="191"/>
      <c r="S23" s="191"/>
      <c r="T23" s="191"/>
      <c r="U23" s="191"/>
      <c r="V23" s="191"/>
      <c r="W23" s="191"/>
      <c r="X23" s="191"/>
      <c r="Y23" s="191"/>
      <c r="Z23" s="191"/>
      <c r="AA23" s="191"/>
      <c r="AB23" s="191"/>
      <c r="AC23" s="191"/>
      <c r="AD23" s="191"/>
      <c r="AE23" s="191"/>
      <c r="AF23" s="191"/>
      <c r="AG23" s="191"/>
      <c r="AH23" s="192"/>
      <c r="AI23" s="192"/>
      <c r="AJ23" s="192"/>
      <c r="AK23" s="192"/>
      <c r="AL23" s="192"/>
      <c r="AM23" s="192"/>
      <c r="AN23" s="192"/>
      <c r="AO23" s="192"/>
      <c r="AP23" s="192"/>
      <c r="AQ23" s="192"/>
      <c r="AR23" s="192"/>
      <c r="AS23" s="192"/>
      <c r="AT23" s="192"/>
      <c r="AU23" s="192"/>
      <c r="AV23" s="192"/>
      <c r="AW23" s="192"/>
      <c r="AX23" s="192"/>
      <c r="AY23" s="192"/>
      <c r="AZ23" s="192"/>
      <c r="BA23" s="192"/>
      <c r="BB23" s="192"/>
      <c r="BC23" s="192"/>
      <c r="BD23" s="192"/>
      <c r="BE23" s="192"/>
      <c r="BF23" s="192"/>
      <c r="BG23" s="192"/>
      <c r="BH23" s="192"/>
      <c r="BI23" s="192"/>
      <c r="BJ23" s="192"/>
      <c r="BK23" s="192"/>
      <c r="BL23" s="192"/>
      <c r="BM23" s="192"/>
      <c r="BN23" s="192"/>
      <c r="BO23" s="192"/>
      <c r="BP23" s="192"/>
      <c r="BQ23" s="192"/>
    </row>
    <row r="24" spans="2:310" s="189" customFormat="1" ht="24.95" customHeight="1">
      <c r="B24" s="270" t="str">
        <f>IFERROR((CONCATENATE("Using PIC biological requirement levels will "&amp;B66&amp;" the current growth rate"&amp;IF(C66=0,""," by ")&amp;IF(C66=0,"",FIXED(C66,2))&amp;IF(C66=0,"","%")&amp;IF(AND(C66=0,C67=0)," or"," and ")&amp;IF(AND(C66=0,C67=0),"",B67)&amp;" feed efficiency"&amp;IF(C67=0,""," by ")&amp;IF(C67=0,"",FIXED(C67,2))&amp;IF(C67=0,"","%")&amp;IF(AND(E6="Carcass",E9&lt;76),CONCATENATE(", and "&amp;B68&amp;" carcass yield"&amp;IF(C68=0,""," by ")&amp;IF(C68=0,"",FIXED(C68,2))&amp;IF(C68=0,"","%")),"")&amp;IF(C73=0,".",B73)&amp;IF(C73=0,"",FIXED(C73,2))&amp;IF(C73=0,""," per pig in ")&amp;IF(C73=0,"",G45)&amp;IF(C73=0,""," given the current ingredients and pig prices."))),"")</f>
        <v>Using PIC biological requirement levels will increase the current growth rate by 8.42% and improve feed efficiency by 5.18%, resulting in gains of $6.21 per pig in IOFFC given the current ingredients and pig prices.</v>
      </c>
      <c r="C24" s="271"/>
      <c r="D24" s="271"/>
      <c r="E24" s="271"/>
      <c r="F24" s="271"/>
      <c r="G24" s="271"/>
      <c r="H24" s="271"/>
      <c r="I24" s="271"/>
      <c r="J24" s="272"/>
      <c r="K24" s="190"/>
      <c r="L24" s="191"/>
      <c r="M24" s="191"/>
      <c r="N24" s="191"/>
      <c r="O24" s="191"/>
      <c r="P24" s="191"/>
      <c r="Q24" s="191"/>
      <c r="R24" s="191"/>
      <c r="S24" s="191"/>
      <c r="T24" s="191"/>
      <c r="U24" s="191"/>
      <c r="V24" s="191"/>
      <c r="W24" s="191"/>
      <c r="X24" s="191"/>
      <c r="Y24" s="191"/>
      <c r="Z24" s="191"/>
      <c r="AA24" s="191"/>
      <c r="AB24" s="191"/>
      <c r="AC24" s="191"/>
      <c r="AD24" s="191"/>
      <c r="AE24" s="191"/>
      <c r="AF24" s="191"/>
      <c r="AG24" s="191"/>
      <c r="AH24" s="192"/>
      <c r="AI24" s="192"/>
      <c r="AJ24" s="192"/>
      <c r="AK24" s="192"/>
      <c r="AL24" s="192"/>
      <c r="AM24" s="192"/>
      <c r="AN24" s="192"/>
      <c r="AO24" s="192"/>
      <c r="AP24" s="192"/>
      <c r="AQ24" s="192"/>
      <c r="AR24" s="192"/>
      <c r="AS24" s="192"/>
      <c r="AT24" s="192"/>
      <c r="AU24" s="192"/>
      <c r="AV24" s="192"/>
      <c r="AW24" s="192"/>
      <c r="AX24" s="192"/>
      <c r="AY24" s="192"/>
      <c r="AZ24" s="192"/>
      <c r="BA24" s="192"/>
      <c r="BB24" s="192"/>
      <c r="BC24" s="192"/>
      <c r="BD24" s="192"/>
      <c r="BE24" s="192"/>
      <c r="BF24" s="192"/>
      <c r="BG24" s="192"/>
      <c r="BH24" s="192"/>
      <c r="BI24" s="192"/>
      <c r="BJ24" s="192"/>
      <c r="BK24" s="192"/>
      <c r="BL24" s="192"/>
      <c r="BM24" s="192"/>
      <c r="BN24" s="192"/>
      <c r="BO24" s="192"/>
      <c r="BP24" s="192"/>
      <c r="BQ24" s="192"/>
    </row>
    <row r="25" spans="2:310" s="189" customFormat="1" ht="24.95" customHeight="1">
      <c r="B25" s="273"/>
      <c r="C25" s="274"/>
      <c r="D25" s="274"/>
      <c r="E25" s="274"/>
      <c r="F25" s="274"/>
      <c r="G25" s="274"/>
      <c r="H25" s="274"/>
      <c r="I25" s="274"/>
      <c r="J25" s="275"/>
      <c r="K25" s="190"/>
      <c r="L25" s="191"/>
      <c r="M25" s="191"/>
      <c r="N25" s="191"/>
      <c r="O25" s="191"/>
      <c r="P25" s="191"/>
      <c r="Q25" s="191"/>
      <c r="R25" s="191"/>
      <c r="S25" s="191"/>
      <c r="T25" s="191"/>
      <c r="U25" s="191"/>
      <c r="V25" s="191"/>
      <c r="W25" s="191"/>
      <c r="X25" s="191"/>
      <c r="Y25" s="191"/>
      <c r="Z25" s="191"/>
      <c r="AA25" s="191"/>
      <c r="AB25" s="191"/>
      <c r="AC25" s="191"/>
      <c r="AD25" s="191"/>
      <c r="AE25" s="191"/>
      <c r="AF25" s="191"/>
      <c r="AG25" s="191"/>
      <c r="AH25" s="192"/>
      <c r="AI25" s="192"/>
      <c r="AJ25" s="192"/>
      <c r="AK25" s="192"/>
      <c r="AL25" s="192"/>
      <c r="AM25" s="192"/>
      <c r="AN25" s="192"/>
      <c r="AO25" s="192"/>
      <c r="AP25" s="192"/>
      <c r="AQ25" s="192"/>
      <c r="AR25" s="192"/>
      <c r="AS25" s="192"/>
      <c r="AT25" s="192"/>
      <c r="AU25" s="192"/>
      <c r="AV25" s="192"/>
      <c r="AW25" s="192"/>
      <c r="AX25" s="192"/>
      <c r="AY25" s="192"/>
      <c r="AZ25" s="192"/>
      <c r="BA25" s="192"/>
      <c r="BB25" s="192"/>
      <c r="BC25" s="192"/>
      <c r="BD25" s="192"/>
      <c r="BE25" s="192"/>
      <c r="BF25" s="192"/>
      <c r="BG25" s="192"/>
      <c r="BH25" s="192"/>
      <c r="BI25" s="192"/>
      <c r="BJ25" s="192"/>
      <c r="BK25" s="192"/>
      <c r="BL25" s="192"/>
      <c r="BM25" s="192"/>
      <c r="BN25" s="192"/>
      <c r="BO25" s="192"/>
      <c r="BP25" s="192"/>
      <c r="BQ25" s="192"/>
    </row>
    <row r="26" spans="2:310" s="189" customFormat="1" ht="24.95" customHeight="1" thickBot="1">
      <c r="B26" s="276" t="str">
        <f>IFERROR(B75,"")</f>
        <v>In this scenario, it is economical to feed PIC STTD phosphorus biological levels.</v>
      </c>
      <c r="C26" s="277"/>
      <c r="D26" s="277"/>
      <c r="E26" s="277"/>
      <c r="F26" s="277"/>
      <c r="G26" s="277"/>
      <c r="H26" s="277"/>
      <c r="I26" s="277"/>
      <c r="J26" s="278"/>
      <c r="K26" s="190"/>
      <c r="L26" s="191"/>
      <c r="M26" s="191"/>
      <c r="N26" s="191"/>
      <c r="O26" s="191"/>
      <c r="P26" s="191"/>
      <c r="Q26" s="191"/>
      <c r="R26" s="191"/>
      <c r="S26" s="191"/>
      <c r="T26" s="191"/>
      <c r="U26" s="191"/>
      <c r="V26" s="191"/>
      <c r="W26" s="191"/>
      <c r="X26" s="191"/>
      <c r="Y26" s="191"/>
      <c r="Z26" s="191"/>
      <c r="AA26" s="191"/>
      <c r="AB26" s="191"/>
      <c r="AC26" s="191"/>
      <c r="AD26" s="191"/>
      <c r="AE26" s="191"/>
      <c r="AF26" s="191"/>
      <c r="AG26" s="191"/>
      <c r="AH26" s="192"/>
      <c r="AI26" s="192"/>
      <c r="AJ26" s="192"/>
      <c r="AK26" s="192"/>
      <c r="AL26" s="192"/>
      <c r="AM26" s="192"/>
      <c r="AN26" s="192"/>
      <c r="AO26" s="192"/>
      <c r="AP26" s="192"/>
      <c r="AQ26" s="192"/>
      <c r="AR26" s="192"/>
      <c r="AS26" s="192"/>
      <c r="AT26" s="192"/>
      <c r="AU26" s="192"/>
      <c r="AV26" s="192"/>
      <c r="AW26" s="192"/>
      <c r="AX26" s="192"/>
      <c r="AY26" s="192"/>
      <c r="AZ26" s="192"/>
      <c r="BA26" s="192"/>
      <c r="BB26" s="192"/>
      <c r="BC26" s="192"/>
      <c r="BD26" s="192"/>
      <c r="BE26" s="192"/>
      <c r="BF26" s="192"/>
      <c r="BG26" s="192"/>
      <c r="BH26" s="192"/>
      <c r="BI26" s="192"/>
      <c r="BJ26" s="192"/>
      <c r="BK26" s="192"/>
      <c r="BL26" s="192"/>
      <c r="BM26" s="192"/>
      <c r="BN26" s="192"/>
      <c r="BO26" s="192"/>
      <c r="BP26" s="192"/>
      <c r="BQ26" s="192"/>
    </row>
    <row r="27" spans="2:310" ht="20.100000000000001" customHeight="1" thickBot="1">
      <c r="B27" s="193"/>
      <c r="C27" s="193"/>
      <c r="D27" s="193"/>
      <c r="E27" s="193"/>
      <c r="F27" s="193"/>
      <c r="G27" s="193"/>
      <c r="H27" s="193"/>
      <c r="I27" s="193"/>
      <c r="J27" s="193"/>
      <c r="K27" s="193"/>
      <c r="L27" s="183"/>
      <c r="M27" s="183"/>
      <c r="N27" s="183"/>
      <c r="O27" s="183"/>
      <c r="P27" s="183"/>
      <c r="Q27" s="183"/>
      <c r="R27" s="183"/>
      <c r="S27" s="183"/>
      <c r="T27" s="183"/>
      <c r="U27" s="183"/>
      <c r="V27" s="183"/>
      <c r="W27" s="183"/>
      <c r="X27" s="183"/>
      <c r="Y27" s="183"/>
      <c r="Z27" s="183"/>
      <c r="AA27" s="183"/>
      <c r="AB27" s="183"/>
      <c r="AC27" s="183"/>
      <c r="AD27" s="183"/>
      <c r="AE27" s="183"/>
      <c r="AF27" s="183"/>
      <c r="AG27" s="183"/>
      <c r="BR27" s="120"/>
      <c r="BS27" s="120"/>
      <c r="BT27" s="120"/>
      <c r="BU27" s="120"/>
      <c r="BV27" s="120"/>
      <c r="BW27" s="120"/>
      <c r="BX27" s="120"/>
      <c r="BY27" s="120"/>
      <c r="BZ27" s="120"/>
      <c r="CA27" s="120"/>
      <c r="CB27" s="120"/>
      <c r="CC27" s="120"/>
      <c r="CD27" s="120"/>
      <c r="CE27" s="120"/>
      <c r="CF27" s="120"/>
      <c r="CG27" s="120"/>
      <c r="CH27" s="120"/>
      <c r="CI27" s="120"/>
      <c r="CJ27" s="120"/>
      <c r="CK27" s="120"/>
      <c r="CL27" s="120"/>
      <c r="CM27" s="120"/>
      <c r="CN27" s="120"/>
      <c r="CO27" s="120"/>
      <c r="CP27" s="120"/>
      <c r="CQ27" s="120"/>
      <c r="CR27" s="120"/>
      <c r="CS27" s="120"/>
      <c r="CT27" s="120"/>
      <c r="CU27" s="120"/>
      <c r="CV27" s="120"/>
      <c r="CW27" s="120"/>
      <c r="CX27" s="120"/>
      <c r="CY27" s="120"/>
      <c r="CZ27" s="120"/>
      <c r="DA27" s="120"/>
      <c r="DB27" s="120"/>
      <c r="DC27" s="120"/>
      <c r="DD27" s="120"/>
      <c r="DE27" s="120"/>
      <c r="DF27" s="120"/>
      <c r="DG27" s="120"/>
      <c r="DH27" s="120"/>
      <c r="DI27" s="120"/>
      <c r="DJ27" s="120"/>
      <c r="DK27" s="120"/>
      <c r="DL27" s="120"/>
      <c r="DM27" s="120"/>
      <c r="DN27" s="120"/>
      <c r="DO27" s="120"/>
      <c r="DP27" s="120"/>
      <c r="DQ27" s="120"/>
      <c r="DR27" s="120"/>
      <c r="DS27" s="120"/>
      <c r="DT27" s="120"/>
      <c r="DU27" s="120"/>
      <c r="DV27" s="120"/>
      <c r="DW27" s="120"/>
      <c r="DX27" s="120"/>
      <c r="DY27" s="120"/>
      <c r="DZ27" s="120"/>
      <c r="EA27" s="120"/>
      <c r="EB27" s="120"/>
      <c r="EC27" s="120"/>
      <c r="ED27" s="120"/>
      <c r="EE27" s="120"/>
      <c r="EF27" s="120"/>
      <c r="EG27" s="120"/>
      <c r="EH27" s="120"/>
      <c r="EI27" s="120"/>
      <c r="EJ27" s="120"/>
      <c r="EK27" s="120"/>
      <c r="EL27" s="120"/>
      <c r="EM27" s="120"/>
      <c r="EN27" s="120"/>
      <c r="EO27" s="120"/>
      <c r="EP27" s="120"/>
      <c r="EQ27" s="120"/>
      <c r="ER27" s="120"/>
      <c r="ES27" s="120"/>
      <c r="ET27" s="120"/>
      <c r="EU27" s="120"/>
      <c r="EV27" s="120"/>
      <c r="EW27" s="120"/>
      <c r="EX27" s="120"/>
      <c r="EY27" s="120"/>
      <c r="EZ27" s="120"/>
      <c r="FA27" s="120"/>
      <c r="FB27" s="120"/>
      <c r="FC27" s="120"/>
      <c r="FD27" s="120"/>
      <c r="FE27" s="120"/>
      <c r="FF27" s="120"/>
      <c r="FG27" s="120"/>
      <c r="FH27" s="120"/>
      <c r="FI27" s="120"/>
      <c r="FJ27" s="120"/>
      <c r="FK27" s="120"/>
      <c r="FL27" s="120"/>
      <c r="FM27" s="120"/>
      <c r="FN27" s="120"/>
      <c r="FO27" s="120"/>
      <c r="FP27" s="120"/>
      <c r="FQ27" s="120"/>
      <c r="FR27" s="120"/>
      <c r="FS27" s="120"/>
      <c r="FT27" s="120"/>
      <c r="FU27" s="120"/>
      <c r="FV27" s="120"/>
      <c r="FW27" s="120"/>
      <c r="FX27" s="120"/>
      <c r="FY27" s="120"/>
      <c r="FZ27" s="120"/>
      <c r="GA27" s="120"/>
      <c r="GB27" s="120"/>
      <c r="GC27" s="120"/>
      <c r="GD27" s="120"/>
      <c r="GE27" s="120"/>
      <c r="GF27" s="120"/>
      <c r="GG27" s="120"/>
      <c r="GH27" s="120"/>
      <c r="GI27" s="120"/>
      <c r="GJ27" s="120"/>
      <c r="GK27" s="120"/>
      <c r="GL27" s="120"/>
      <c r="GM27" s="120"/>
      <c r="GN27" s="120"/>
      <c r="GO27" s="120"/>
      <c r="GP27" s="120"/>
      <c r="GQ27" s="120"/>
      <c r="GR27" s="120"/>
      <c r="GS27" s="120"/>
      <c r="GT27" s="120"/>
      <c r="GU27" s="120"/>
      <c r="GV27" s="120"/>
      <c r="GW27" s="120"/>
      <c r="GX27" s="120"/>
      <c r="GY27" s="120"/>
      <c r="GZ27" s="120"/>
      <c r="HA27" s="120"/>
      <c r="HB27" s="120"/>
      <c r="HC27" s="120"/>
      <c r="HD27" s="120"/>
      <c r="HE27" s="120"/>
      <c r="HF27" s="120"/>
      <c r="HG27" s="120"/>
      <c r="HH27" s="120"/>
      <c r="HI27" s="120"/>
      <c r="HJ27" s="120"/>
      <c r="HK27" s="120"/>
      <c r="HL27" s="120"/>
      <c r="HM27" s="120"/>
      <c r="HN27" s="120"/>
      <c r="HO27" s="120"/>
      <c r="HP27" s="120"/>
      <c r="HQ27" s="120"/>
      <c r="HR27" s="120"/>
      <c r="HS27" s="120"/>
      <c r="HT27" s="120"/>
      <c r="HU27" s="120"/>
      <c r="HV27" s="120"/>
      <c r="HW27" s="120"/>
      <c r="HX27" s="120"/>
      <c r="HY27" s="120"/>
      <c r="HZ27" s="120"/>
      <c r="IA27" s="120"/>
      <c r="IB27" s="120"/>
      <c r="IC27" s="120"/>
      <c r="ID27" s="120"/>
      <c r="IE27" s="120"/>
      <c r="IF27" s="120"/>
      <c r="IG27" s="120"/>
      <c r="IH27" s="120"/>
      <c r="II27" s="120"/>
      <c r="IJ27" s="120"/>
      <c r="IK27" s="120"/>
      <c r="IL27" s="120"/>
      <c r="IM27" s="120"/>
      <c r="IN27" s="120"/>
      <c r="IO27" s="120"/>
      <c r="IP27" s="120"/>
      <c r="IQ27" s="120"/>
      <c r="IR27" s="120"/>
      <c r="IS27" s="120"/>
      <c r="IT27" s="120"/>
      <c r="IU27" s="120"/>
      <c r="IV27" s="120"/>
      <c r="IW27" s="120"/>
      <c r="IX27" s="120"/>
      <c r="IY27" s="120"/>
      <c r="IZ27" s="120"/>
      <c r="JA27" s="120"/>
      <c r="JB27" s="120"/>
      <c r="JC27" s="120"/>
      <c r="JD27" s="120"/>
      <c r="JE27" s="120"/>
      <c r="JF27" s="120"/>
      <c r="JG27" s="120"/>
      <c r="JH27" s="120"/>
      <c r="JI27" s="120"/>
      <c r="JJ27" s="120"/>
      <c r="JK27" s="120"/>
      <c r="JL27" s="120"/>
      <c r="JM27" s="120"/>
      <c r="JN27" s="120"/>
    </row>
    <row r="28" spans="2:310" s="189" customFormat="1" ht="24.95" customHeight="1" thickBot="1">
      <c r="B28" s="267" t="s">
        <v>225</v>
      </c>
      <c r="C28" s="268"/>
      <c r="D28" s="268"/>
      <c r="E28" s="268"/>
      <c r="F28" s="268"/>
      <c r="G28" s="268"/>
      <c r="H28" s="268"/>
      <c r="I28" s="268"/>
      <c r="J28" s="269"/>
      <c r="K28" s="190"/>
      <c r="L28" s="191"/>
      <c r="M28" s="191"/>
      <c r="N28" s="191"/>
      <c r="O28" s="191"/>
      <c r="P28" s="191"/>
      <c r="Q28" s="191"/>
      <c r="R28" s="191"/>
      <c r="S28" s="191"/>
      <c r="T28" s="191"/>
      <c r="U28" s="191"/>
      <c r="V28" s="191"/>
      <c r="W28" s="191"/>
      <c r="X28" s="191"/>
      <c r="Y28" s="191"/>
      <c r="Z28" s="191"/>
      <c r="AA28" s="191"/>
      <c r="AB28" s="191"/>
      <c r="AC28" s="191"/>
      <c r="AD28" s="191"/>
      <c r="AE28" s="191"/>
      <c r="AF28" s="191"/>
      <c r="AG28" s="191"/>
      <c r="AH28" s="192"/>
      <c r="AI28" s="192"/>
      <c r="AJ28" s="192"/>
      <c r="AK28" s="192"/>
      <c r="AL28" s="192"/>
      <c r="AM28" s="192"/>
      <c r="AN28" s="192"/>
      <c r="AO28" s="192"/>
      <c r="AP28" s="192"/>
      <c r="AQ28" s="192"/>
      <c r="AR28" s="192"/>
      <c r="AS28" s="192"/>
      <c r="AT28" s="192"/>
      <c r="AU28" s="192"/>
      <c r="AV28" s="192"/>
      <c r="AW28" s="192"/>
      <c r="AX28" s="192"/>
      <c r="AY28" s="192"/>
      <c r="AZ28" s="192"/>
      <c r="BA28" s="192"/>
      <c r="BB28" s="192"/>
      <c r="BC28" s="192"/>
      <c r="BD28" s="192"/>
      <c r="BE28" s="192"/>
      <c r="BF28" s="192"/>
      <c r="BG28" s="192"/>
      <c r="BH28" s="192"/>
      <c r="BI28" s="192"/>
      <c r="BJ28" s="192"/>
      <c r="BK28" s="192"/>
      <c r="BL28" s="192"/>
      <c r="BM28" s="192"/>
      <c r="BN28" s="192"/>
      <c r="BO28" s="192"/>
      <c r="BP28" s="192"/>
      <c r="BQ28" s="192"/>
    </row>
    <row r="29" spans="2:310" s="189" customFormat="1" ht="24.95" customHeight="1">
      <c r="B29" s="270" t="str">
        <f>IFERROR((CONCATENATE("Using PIC biological requirement levels will "&amp;B70&amp;" the current growth rate"&amp;IF(C70=0,""," by ")&amp;IF(C70=0,"",FIXED(C70,2))&amp;IF(C70=0,"","%")&amp;IF(AND(C70=0,C71=0)," or"," and ")&amp;IF(AND(C70=0,C71=0),"",B71)&amp;" feed efficiency"&amp;IF(C71=0,""," by ")&amp;IF(C71=0,"",FIXED(C71,2))&amp;IF(C71=0,"","%")&amp;IF(AND(E6="Carcass",E9&lt;76),CONCATENATE(", and "&amp;B72&amp;" carcass yield"&amp;IF(C72=0,""," by ")&amp;IF(C72=0,"",FIXED(C72,2))&amp;IF(C72=0,"","%")),"")&amp;IF(C74=0,".",B74)&amp;IF(C74=0,"",FIXED(C74,2))&amp;IF(C74=0,""," per pig in ")&amp;IF(C74=0,"",G47)&amp;IF(C74=0,""," given the current ingredients and pig prices."))),"")</f>
        <v>Using PIC biological requirement levels will increase the current growth rate by 8.43% and improve feed efficiency by 5.18%, resulting in gains of $10.16 per pig in IOFC given the current ingredients and pig prices.</v>
      </c>
      <c r="C29" s="271"/>
      <c r="D29" s="271"/>
      <c r="E29" s="271"/>
      <c r="F29" s="271"/>
      <c r="G29" s="271"/>
      <c r="H29" s="271"/>
      <c r="I29" s="271"/>
      <c r="J29" s="272"/>
      <c r="K29" s="190"/>
      <c r="L29" s="191"/>
      <c r="M29" s="191"/>
      <c r="N29" s="191"/>
      <c r="O29" s="191"/>
      <c r="P29" s="191"/>
      <c r="Q29" s="191"/>
      <c r="R29" s="191"/>
      <c r="S29" s="191"/>
      <c r="T29" s="191"/>
      <c r="U29" s="191"/>
      <c r="V29" s="191"/>
      <c r="W29" s="191"/>
      <c r="X29" s="191"/>
      <c r="Y29" s="191"/>
      <c r="Z29" s="191"/>
      <c r="AA29" s="191"/>
      <c r="AB29" s="191"/>
      <c r="AC29" s="191"/>
      <c r="AD29" s="191"/>
      <c r="AE29" s="191"/>
      <c r="AF29" s="191"/>
      <c r="AG29" s="191"/>
      <c r="AH29" s="192"/>
      <c r="AI29" s="192"/>
      <c r="AJ29" s="192"/>
      <c r="AK29" s="192"/>
      <c r="AL29" s="192"/>
      <c r="AM29" s="192"/>
      <c r="AN29" s="192"/>
      <c r="AO29" s="192"/>
      <c r="AP29" s="192"/>
      <c r="AQ29" s="192"/>
      <c r="AR29" s="192"/>
      <c r="AS29" s="192"/>
      <c r="AT29" s="192"/>
      <c r="AU29" s="192"/>
      <c r="AV29" s="192"/>
      <c r="AW29" s="192"/>
      <c r="AX29" s="192"/>
      <c r="AY29" s="192"/>
      <c r="AZ29" s="192"/>
      <c r="BA29" s="192"/>
      <c r="BB29" s="192"/>
      <c r="BC29" s="192"/>
      <c r="BD29" s="192"/>
      <c r="BE29" s="192"/>
      <c r="BF29" s="192"/>
      <c r="BG29" s="192"/>
      <c r="BH29" s="192"/>
      <c r="BI29" s="192"/>
      <c r="BJ29" s="192"/>
      <c r="BK29" s="192"/>
      <c r="BL29" s="192"/>
      <c r="BM29" s="192"/>
      <c r="BN29" s="192"/>
      <c r="BO29" s="192"/>
      <c r="BP29" s="192"/>
      <c r="BQ29" s="192"/>
    </row>
    <row r="30" spans="2:310" s="189" customFormat="1" ht="24.95" customHeight="1">
      <c r="B30" s="273"/>
      <c r="C30" s="274"/>
      <c r="D30" s="274"/>
      <c r="E30" s="274"/>
      <c r="F30" s="274"/>
      <c r="G30" s="274"/>
      <c r="H30" s="274"/>
      <c r="I30" s="274"/>
      <c r="J30" s="275"/>
      <c r="K30" s="190"/>
      <c r="L30" s="191"/>
      <c r="M30" s="191"/>
      <c r="N30" s="191"/>
      <c r="O30" s="191"/>
      <c r="P30" s="191"/>
      <c r="Q30" s="191"/>
      <c r="R30" s="191"/>
      <c r="S30" s="191"/>
      <c r="T30" s="191"/>
      <c r="U30" s="191"/>
      <c r="V30" s="191"/>
      <c r="W30" s="191"/>
      <c r="X30" s="191"/>
      <c r="Y30" s="191"/>
      <c r="Z30" s="191"/>
      <c r="AA30" s="191"/>
      <c r="AB30" s="191"/>
      <c r="AC30" s="191"/>
      <c r="AD30" s="191"/>
      <c r="AE30" s="191"/>
      <c r="AF30" s="191"/>
      <c r="AG30" s="191"/>
      <c r="AH30" s="192"/>
      <c r="AI30" s="192"/>
      <c r="AJ30" s="192"/>
      <c r="AK30" s="192"/>
      <c r="AL30" s="192"/>
      <c r="AM30" s="192"/>
      <c r="AN30" s="192"/>
      <c r="AO30" s="192"/>
      <c r="AP30" s="192"/>
      <c r="AQ30" s="192"/>
      <c r="AR30" s="192"/>
      <c r="AS30" s="192"/>
      <c r="AT30" s="192"/>
      <c r="AU30" s="192"/>
      <c r="AV30" s="192"/>
      <c r="AW30" s="192"/>
      <c r="AX30" s="192"/>
      <c r="AY30" s="192"/>
      <c r="AZ30" s="192"/>
      <c r="BA30" s="192"/>
      <c r="BB30" s="192"/>
      <c r="BC30" s="192"/>
      <c r="BD30" s="192"/>
      <c r="BE30" s="192"/>
      <c r="BF30" s="192"/>
      <c r="BG30" s="192"/>
      <c r="BH30" s="192"/>
      <c r="BI30" s="192"/>
      <c r="BJ30" s="192"/>
      <c r="BK30" s="192"/>
      <c r="BL30" s="192"/>
      <c r="BM30" s="192"/>
      <c r="BN30" s="192"/>
      <c r="BO30" s="192"/>
      <c r="BP30" s="192"/>
      <c r="BQ30" s="192"/>
    </row>
    <row r="31" spans="2:310" s="189" customFormat="1" ht="24.95" customHeight="1" thickBot="1">
      <c r="B31" s="276" t="str">
        <f>IFERROR(B76,"")</f>
        <v>In this scenario, it is economical to feed PIC STTD phosphorus biological levels.</v>
      </c>
      <c r="C31" s="277"/>
      <c r="D31" s="277"/>
      <c r="E31" s="277"/>
      <c r="F31" s="277"/>
      <c r="G31" s="277"/>
      <c r="H31" s="277"/>
      <c r="I31" s="277"/>
      <c r="J31" s="278"/>
      <c r="K31" s="190"/>
      <c r="L31" s="191"/>
      <c r="M31" s="191"/>
      <c r="N31" s="191"/>
      <c r="O31" s="191"/>
      <c r="P31" s="191"/>
      <c r="Q31" s="191"/>
      <c r="R31" s="191"/>
      <c r="S31" s="191"/>
      <c r="T31" s="191"/>
      <c r="U31" s="191"/>
      <c r="V31" s="191"/>
      <c r="W31" s="191"/>
      <c r="X31" s="191"/>
      <c r="Y31" s="191"/>
      <c r="Z31" s="191"/>
      <c r="AA31" s="191"/>
      <c r="AB31" s="191"/>
      <c r="AC31" s="191"/>
      <c r="AD31" s="191"/>
      <c r="AE31" s="191"/>
      <c r="AF31" s="191"/>
      <c r="AG31" s="191"/>
      <c r="AH31" s="192"/>
      <c r="AI31" s="192"/>
      <c r="AJ31" s="192"/>
      <c r="AK31" s="192"/>
      <c r="AL31" s="192"/>
      <c r="AM31" s="192"/>
      <c r="AN31" s="192"/>
      <c r="AO31" s="192"/>
      <c r="AP31" s="192"/>
      <c r="AQ31" s="192"/>
      <c r="AR31" s="192"/>
      <c r="AS31" s="192"/>
      <c r="AT31" s="192"/>
      <c r="AU31" s="192"/>
      <c r="AV31" s="192"/>
      <c r="AW31" s="192"/>
      <c r="AX31" s="192"/>
      <c r="AY31" s="192"/>
      <c r="AZ31" s="192"/>
      <c r="BA31" s="192"/>
      <c r="BB31" s="192"/>
      <c r="BC31" s="192"/>
      <c r="BD31" s="192"/>
      <c r="BE31" s="192"/>
      <c r="BF31" s="192"/>
      <c r="BG31" s="192"/>
      <c r="BH31" s="192"/>
      <c r="BI31" s="192"/>
      <c r="BJ31" s="192"/>
      <c r="BK31" s="192"/>
      <c r="BL31" s="192"/>
      <c r="BM31" s="192"/>
      <c r="BN31" s="192"/>
      <c r="BO31" s="192"/>
      <c r="BP31" s="192"/>
      <c r="BQ31" s="192"/>
    </row>
    <row r="32" spans="2:310" ht="20.100000000000001" customHeight="1">
      <c r="B32" s="193"/>
      <c r="C32" s="193"/>
      <c r="D32" s="193"/>
      <c r="E32" s="193"/>
      <c r="F32" s="193"/>
      <c r="G32" s="193"/>
      <c r="H32" s="193"/>
      <c r="I32" s="193"/>
      <c r="J32" s="193"/>
      <c r="K32" s="193"/>
      <c r="L32" s="183"/>
      <c r="M32" s="183"/>
      <c r="N32" s="183"/>
      <c r="O32" s="183"/>
      <c r="P32" s="183"/>
      <c r="Q32" s="183"/>
      <c r="R32" s="183"/>
      <c r="S32" s="183"/>
      <c r="T32" s="183"/>
      <c r="U32" s="183"/>
      <c r="V32" s="183"/>
      <c r="W32" s="183"/>
      <c r="X32" s="183"/>
      <c r="Y32" s="183"/>
      <c r="Z32" s="183"/>
      <c r="AA32" s="183"/>
      <c r="AB32" s="183"/>
      <c r="AC32" s="183"/>
      <c r="AD32" s="183"/>
      <c r="AE32" s="183"/>
      <c r="AF32" s="183"/>
      <c r="AG32" s="183"/>
      <c r="BR32" s="120"/>
      <c r="BS32" s="120"/>
      <c r="BT32" s="120"/>
      <c r="BU32" s="120"/>
      <c r="BV32" s="120"/>
      <c r="BW32" s="120"/>
      <c r="BX32" s="120"/>
      <c r="BY32" s="120"/>
      <c r="BZ32" s="120"/>
      <c r="CA32" s="120"/>
      <c r="CB32" s="120"/>
      <c r="CC32" s="120"/>
      <c r="CD32" s="120"/>
      <c r="CE32" s="120"/>
      <c r="CF32" s="120"/>
      <c r="CG32" s="120"/>
      <c r="CH32" s="120"/>
      <c r="CI32" s="120"/>
      <c r="CJ32" s="120"/>
      <c r="CK32" s="120"/>
      <c r="CL32" s="120"/>
      <c r="CM32" s="120"/>
      <c r="CN32" s="120"/>
      <c r="CO32" s="120"/>
      <c r="CP32" s="120"/>
      <c r="CQ32" s="120"/>
      <c r="CR32" s="120"/>
      <c r="CS32" s="120"/>
      <c r="CT32" s="120"/>
      <c r="CU32" s="120"/>
      <c r="CV32" s="120"/>
      <c r="CW32" s="120"/>
      <c r="CX32" s="120"/>
      <c r="CY32" s="120"/>
      <c r="CZ32" s="120"/>
      <c r="DA32" s="120"/>
      <c r="DB32" s="120"/>
      <c r="DC32" s="120"/>
      <c r="DD32" s="120"/>
      <c r="DE32" s="120"/>
      <c r="DF32" s="120"/>
      <c r="DG32" s="120"/>
      <c r="DH32" s="120"/>
      <c r="DI32" s="120"/>
      <c r="DJ32" s="120"/>
      <c r="DK32" s="120"/>
      <c r="DL32" s="120"/>
      <c r="DM32" s="120"/>
      <c r="DN32" s="120"/>
      <c r="DO32" s="120"/>
      <c r="DP32" s="120"/>
      <c r="DQ32" s="120"/>
      <c r="DR32" s="120"/>
      <c r="DS32" s="120"/>
      <c r="DT32" s="120"/>
      <c r="DU32" s="120"/>
      <c r="DV32" s="120"/>
      <c r="DW32" s="120"/>
      <c r="DX32" s="120"/>
      <c r="DY32" s="120"/>
      <c r="DZ32" s="120"/>
      <c r="EA32" s="120"/>
      <c r="EB32" s="120"/>
      <c r="EC32" s="120"/>
      <c r="ED32" s="120"/>
      <c r="EE32" s="120"/>
      <c r="EF32" s="120"/>
      <c r="EG32" s="120"/>
      <c r="EH32" s="120"/>
      <c r="EI32" s="120"/>
      <c r="EJ32" s="120"/>
      <c r="EK32" s="120"/>
      <c r="EL32" s="120"/>
      <c r="EM32" s="120"/>
      <c r="EN32" s="120"/>
      <c r="EO32" s="120"/>
      <c r="EP32" s="120"/>
      <c r="EQ32" s="120"/>
      <c r="ER32" s="120"/>
      <c r="ES32" s="120"/>
      <c r="ET32" s="120"/>
      <c r="EU32" s="120"/>
      <c r="EV32" s="120"/>
      <c r="EW32" s="120"/>
      <c r="EX32" s="120"/>
      <c r="EY32" s="120"/>
      <c r="EZ32" s="120"/>
      <c r="FA32" s="120"/>
      <c r="FB32" s="120"/>
      <c r="FC32" s="120"/>
      <c r="FD32" s="120"/>
      <c r="FE32" s="120"/>
      <c r="FF32" s="120"/>
      <c r="FG32" s="120"/>
      <c r="FH32" s="120"/>
      <c r="FI32" s="120"/>
      <c r="FJ32" s="120"/>
      <c r="FK32" s="120"/>
      <c r="FL32" s="120"/>
      <c r="FM32" s="120"/>
      <c r="FN32" s="120"/>
      <c r="FO32" s="120"/>
      <c r="FP32" s="120"/>
      <c r="FQ32" s="120"/>
      <c r="FR32" s="120"/>
      <c r="FS32" s="120"/>
      <c r="FT32" s="120"/>
      <c r="FU32" s="120"/>
      <c r="FV32" s="120"/>
      <c r="FW32" s="120"/>
      <c r="FX32" s="120"/>
      <c r="FY32" s="120"/>
      <c r="FZ32" s="120"/>
      <c r="GA32" s="120"/>
      <c r="GB32" s="120"/>
      <c r="GC32" s="120"/>
      <c r="GD32" s="120"/>
      <c r="GE32" s="120"/>
      <c r="GF32" s="120"/>
      <c r="GG32" s="120"/>
      <c r="GH32" s="120"/>
      <c r="GI32" s="120"/>
      <c r="GJ32" s="120"/>
      <c r="GK32" s="120"/>
      <c r="GL32" s="120"/>
      <c r="GM32" s="120"/>
      <c r="GN32" s="120"/>
      <c r="GO32" s="120"/>
      <c r="GP32" s="120"/>
      <c r="GQ32" s="120"/>
      <c r="GR32" s="120"/>
      <c r="GS32" s="120"/>
      <c r="GT32" s="120"/>
      <c r="GU32" s="120"/>
      <c r="GV32" s="120"/>
      <c r="GW32" s="120"/>
      <c r="GX32" s="120"/>
      <c r="GY32" s="120"/>
      <c r="GZ32" s="120"/>
      <c r="HA32" s="120"/>
      <c r="HB32" s="120"/>
      <c r="HC32" s="120"/>
      <c r="HD32" s="120"/>
      <c r="HE32" s="120"/>
      <c r="HF32" s="120"/>
      <c r="HG32" s="120"/>
      <c r="HH32" s="120"/>
      <c r="HI32" s="120"/>
      <c r="HJ32" s="120"/>
      <c r="HK32" s="120"/>
      <c r="HL32" s="120"/>
      <c r="HM32" s="120"/>
      <c r="HN32" s="120"/>
      <c r="HO32" s="120"/>
      <c r="HP32" s="120"/>
      <c r="HQ32" s="120"/>
      <c r="HR32" s="120"/>
      <c r="HS32" s="120"/>
      <c r="HT32" s="120"/>
      <c r="HU32" s="120"/>
      <c r="HV32" s="120"/>
      <c r="HW32" s="120"/>
      <c r="HX32" s="120"/>
      <c r="HY32" s="120"/>
      <c r="HZ32" s="120"/>
      <c r="IA32" s="120"/>
      <c r="IB32" s="120"/>
      <c r="IC32" s="120"/>
      <c r="ID32" s="120"/>
      <c r="IE32" s="120"/>
      <c r="IF32" s="120"/>
      <c r="IG32" s="120"/>
      <c r="IH32" s="120"/>
      <c r="II32" s="120"/>
      <c r="IJ32" s="120"/>
      <c r="IK32" s="120"/>
      <c r="IL32" s="120"/>
      <c r="IM32" s="120"/>
      <c r="IN32" s="120"/>
      <c r="IO32" s="120"/>
      <c r="IP32" s="120"/>
      <c r="IQ32" s="120"/>
      <c r="IR32" s="120"/>
      <c r="IS32" s="120"/>
      <c r="IT32" s="120"/>
      <c r="IU32" s="120"/>
      <c r="IV32" s="120"/>
      <c r="IW32" s="120"/>
      <c r="IX32" s="120"/>
      <c r="IY32" s="120"/>
      <c r="IZ32" s="120"/>
      <c r="JA32" s="120"/>
      <c r="JB32" s="120"/>
      <c r="JC32" s="120"/>
      <c r="JD32" s="120"/>
      <c r="JE32" s="120"/>
      <c r="JF32" s="120"/>
      <c r="JG32" s="120"/>
      <c r="JH32" s="120"/>
      <c r="JI32" s="120"/>
      <c r="JJ32" s="120"/>
      <c r="JK32" s="120"/>
      <c r="JL32" s="120"/>
      <c r="JM32" s="120"/>
      <c r="JN32" s="120"/>
    </row>
    <row r="33" spans="2:292" ht="20.100000000000001" customHeight="1">
      <c r="B33" s="284" t="s">
        <v>218</v>
      </c>
      <c r="C33" s="286" t="s">
        <v>226</v>
      </c>
      <c r="D33" s="286"/>
      <c r="E33" s="286"/>
      <c r="F33" s="286"/>
      <c r="G33" s="286"/>
      <c r="H33" s="286"/>
      <c r="I33" s="286"/>
      <c r="J33" s="286"/>
      <c r="K33" s="121"/>
      <c r="L33" s="121"/>
      <c r="M33" s="121"/>
      <c r="N33" s="121"/>
      <c r="O33" s="121"/>
      <c r="P33" s="121"/>
      <c r="Q33" s="121"/>
      <c r="R33" s="121"/>
      <c r="S33" s="121"/>
      <c r="T33" s="121"/>
      <c r="U33" s="121"/>
      <c r="V33" s="121"/>
      <c r="W33" s="158"/>
      <c r="X33" s="158"/>
      <c r="Y33" s="158"/>
      <c r="Z33" s="121"/>
      <c r="AA33" s="121"/>
      <c r="AB33" s="121"/>
      <c r="AC33" s="121"/>
      <c r="AD33" s="121"/>
      <c r="AE33" s="121"/>
      <c r="AF33" s="121"/>
      <c r="AG33" s="121"/>
      <c r="BR33" s="120"/>
      <c r="BS33" s="120"/>
      <c r="BT33" s="120"/>
      <c r="BU33" s="120"/>
      <c r="BV33" s="120"/>
      <c r="BW33" s="120"/>
      <c r="BX33" s="120"/>
      <c r="BY33" s="120"/>
      <c r="BZ33" s="120"/>
      <c r="CA33" s="120"/>
      <c r="CB33" s="120"/>
      <c r="CC33" s="120"/>
      <c r="CD33" s="120"/>
      <c r="CE33" s="120"/>
      <c r="CF33" s="120"/>
      <c r="CG33" s="120"/>
      <c r="CH33" s="120"/>
      <c r="CI33" s="120"/>
      <c r="CJ33" s="120"/>
      <c r="CK33" s="120"/>
      <c r="CL33" s="120"/>
      <c r="CM33" s="120"/>
      <c r="CN33" s="120"/>
      <c r="CO33" s="120"/>
      <c r="CP33" s="120"/>
      <c r="CQ33" s="120"/>
      <c r="CR33" s="120"/>
      <c r="CS33" s="120"/>
      <c r="CT33" s="120"/>
      <c r="CU33" s="120"/>
      <c r="CV33" s="120"/>
      <c r="CW33" s="120"/>
      <c r="CX33" s="120"/>
      <c r="CY33" s="120"/>
      <c r="CZ33" s="120"/>
      <c r="DA33" s="120"/>
      <c r="DB33" s="120"/>
      <c r="DC33" s="120"/>
      <c r="DD33" s="120"/>
      <c r="DE33" s="120"/>
      <c r="DF33" s="120"/>
      <c r="DG33" s="120"/>
      <c r="DH33" s="120"/>
      <c r="DI33" s="120"/>
      <c r="DJ33" s="120"/>
      <c r="DK33" s="120"/>
      <c r="DL33" s="120"/>
      <c r="DM33" s="120"/>
      <c r="DN33" s="120"/>
      <c r="DO33" s="120"/>
      <c r="DP33" s="120"/>
      <c r="DQ33" s="120"/>
      <c r="DR33" s="120"/>
      <c r="DS33" s="120"/>
      <c r="DT33" s="120"/>
      <c r="DU33" s="120"/>
      <c r="DV33" s="120"/>
      <c r="DW33" s="120"/>
      <c r="DX33" s="120"/>
      <c r="DY33" s="120"/>
      <c r="DZ33" s="120"/>
      <c r="EA33" s="120"/>
      <c r="EB33" s="120"/>
      <c r="EC33" s="120"/>
      <c r="ED33" s="120"/>
      <c r="EE33" s="120"/>
      <c r="EF33" s="120"/>
      <c r="EG33" s="120"/>
      <c r="EH33" s="120"/>
      <c r="EI33" s="120"/>
      <c r="EJ33" s="120"/>
      <c r="EK33" s="120"/>
      <c r="EL33" s="120"/>
      <c r="EM33" s="120"/>
      <c r="EN33" s="120"/>
      <c r="EO33" s="120"/>
      <c r="EP33" s="120"/>
      <c r="EQ33" s="120"/>
      <c r="ER33" s="120"/>
      <c r="ES33" s="120"/>
      <c r="ET33" s="120"/>
      <c r="EU33" s="120"/>
      <c r="EV33" s="120"/>
      <c r="EW33" s="120"/>
      <c r="EX33" s="120"/>
      <c r="EY33" s="120"/>
      <c r="EZ33" s="120"/>
      <c r="FA33" s="120"/>
      <c r="FB33" s="120"/>
      <c r="FC33" s="120"/>
      <c r="FD33" s="120"/>
      <c r="FE33" s="120"/>
      <c r="FF33" s="120"/>
      <c r="FG33" s="120"/>
      <c r="FH33" s="120"/>
      <c r="FI33" s="120"/>
      <c r="FJ33" s="120"/>
      <c r="FK33" s="120"/>
      <c r="FL33" s="120"/>
      <c r="FM33" s="120"/>
      <c r="FN33" s="120"/>
      <c r="FO33" s="120"/>
      <c r="FP33" s="120"/>
      <c r="FQ33" s="120"/>
      <c r="FR33" s="120"/>
      <c r="FS33" s="120"/>
      <c r="FT33" s="120"/>
      <c r="FU33" s="120"/>
      <c r="FV33" s="120"/>
      <c r="FW33" s="120"/>
      <c r="FX33" s="120"/>
      <c r="FY33" s="120"/>
      <c r="FZ33" s="120"/>
      <c r="GA33" s="120"/>
      <c r="GB33" s="120"/>
      <c r="GC33" s="120"/>
      <c r="GD33" s="120"/>
      <c r="GE33" s="120"/>
      <c r="GF33" s="120"/>
      <c r="GG33" s="120"/>
      <c r="GH33" s="120"/>
      <c r="GI33" s="120"/>
      <c r="GJ33" s="120"/>
      <c r="GK33" s="120"/>
      <c r="GL33" s="120"/>
      <c r="GM33" s="120"/>
      <c r="GN33" s="120"/>
      <c r="GO33" s="120"/>
      <c r="GP33" s="120"/>
      <c r="GQ33" s="120"/>
      <c r="GR33" s="120"/>
      <c r="GS33" s="120"/>
      <c r="GT33" s="120"/>
      <c r="GU33" s="120"/>
      <c r="GV33" s="120"/>
      <c r="GW33" s="120"/>
      <c r="GX33" s="120"/>
      <c r="GY33" s="120"/>
      <c r="GZ33" s="120"/>
      <c r="HA33" s="120"/>
      <c r="HB33" s="120"/>
      <c r="HC33" s="120"/>
      <c r="HD33" s="120"/>
      <c r="HE33" s="120"/>
      <c r="HF33" s="120"/>
      <c r="HG33" s="120"/>
      <c r="HH33" s="120"/>
      <c r="HI33" s="120"/>
      <c r="HJ33" s="120"/>
      <c r="HK33" s="120"/>
      <c r="HL33" s="120"/>
      <c r="HM33" s="120"/>
      <c r="HN33" s="120"/>
      <c r="HO33" s="120"/>
      <c r="HP33" s="120"/>
      <c r="HQ33" s="120"/>
      <c r="HR33" s="120"/>
      <c r="HS33" s="120"/>
      <c r="HT33" s="120"/>
      <c r="HU33" s="120"/>
      <c r="HV33" s="120"/>
      <c r="HW33" s="120"/>
      <c r="HX33" s="120"/>
      <c r="HY33" s="120"/>
      <c r="HZ33" s="120"/>
      <c r="IA33" s="120"/>
      <c r="IB33" s="120"/>
      <c r="IC33" s="120"/>
      <c r="ID33" s="120"/>
      <c r="IE33" s="120"/>
      <c r="IF33" s="120"/>
      <c r="IG33" s="120"/>
      <c r="IH33" s="120"/>
      <c r="II33" s="120"/>
      <c r="IJ33" s="120"/>
      <c r="IK33" s="120"/>
      <c r="IL33" s="120"/>
      <c r="IM33" s="120"/>
      <c r="IN33" s="120"/>
      <c r="IO33" s="120"/>
      <c r="IP33" s="120"/>
      <c r="IQ33" s="120"/>
      <c r="IR33" s="120"/>
      <c r="IS33" s="120"/>
      <c r="IT33" s="120"/>
      <c r="IU33" s="120"/>
      <c r="IV33" s="120"/>
      <c r="IW33" s="120"/>
      <c r="IX33" s="120"/>
      <c r="IY33" s="120"/>
      <c r="IZ33" s="120"/>
      <c r="JA33" s="120"/>
      <c r="JB33" s="120"/>
      <c r="JC33" s="120"/>
      <c r="JD33" s="120"/>
      <c r="JE33" s="120"/>
      <c r="JF33" s="120"/>
      <c r="JG33" s="120"/>
      <c r="JH33" s="120"/>
      <c r="JI33" s="120"/>
      <c r="JJ33" s="120"/>
      <c r="JK33" s="120"/>
      <c r="JL33" s="120"/>
      <c r="JM33" s="120"/>
      <c r="JN33" s="120"/>
    </row>
    <row r="34" spans="2:292" ht="20.100000000000001" customHeight="1">
      <c r="B34" s="285"/>
      <c r="C34" s="286"/>
      <c r="D34" s="286"/>
      <c r="E34" s="286"/>
      <c r="F34" s="286"/>
      <c r="G34" s="286"/>
      <c r="H34" s="286"/>
      <c r="I34" s="286"/>
      <c r="J34" s="286"/>
      <c r="K34" s="121"/>
      <c r="L34" s="121"/>
      <c r="M34" s="121"/>
      <c r="N34" s="121"/>
      <c r="O34" s="121"/>
      <c r="P34" s="121"/>
      <c r="Q34" s="121"/>
      <c r="R34" s="121"/>
      <c r="S34" s="121"/>
      <c r="T34" s="121"/>
      <c r="U34" s="121"/>
      <c r="V34" s="121"/>
      <c r="W34" s="158"/>
      <c r="X34" s="158"/>
      <c r="Y34" s="158"/>
      <c r="Z34" s="121"/>
      <c r="AA34" s="121"/>
      <c r="AB34" s="121"/>
      <c r="AC34" s="121"/>
      <c r="AD34" s="121"/>
      <c r="AE34" s="121"/>
      <c r="AF34" s="121"/>
      <c r="AG34" s="121"/>
      <c r="BR34" s="120"/>
      <c r="BS34" s="120"/>
      <c r="BT34" s="120"/>
      <c r="BU34" s="120"/>
      <c r="BV34" s="120"/>
      <c r="BW34" s="120"/>
      <c r="BX34" s="120"/>
      <c r="BY34" s="120"/>
      <c r="BZ34" s="120"/>
      <c r="CA34" s="120"/>
      <c r="CB34" s="120"/>
      <c r="CC34" s="120"/>
      <c r="CD34" s="120"/>
      <c r="CE34" s="120"/>
      <c r="CF34" s="120"/>
      <c r="CG34" s="120"/>
      <c r="CH34" s="120"/>
      <c r="CI34" s="120"/>
      <c r="CJ34" s="120"/>
      <c r="CK34" s="120"/>
      <c r="CL34" s="120"/>
      <c r="CM34" s="120"/>
      <c r="CN34" s="120"/>
      <c r="CO34" s="120"/>
      <c r="CP34" s="120"/>
      <c r="CQ34" s="120"/>
      <c r="CR34" s="120"/>
      <c r="CS34" s="120"/>
      <c r="CT34" s="120"/>
      <c r="CU34" s="120"/>
      <c r="CV34" s="120"/>
      <c r="CW34" s="120"/>
      <c r="CX34" s="120"/>
      <c r="CY34" s="120"/>
      <c r="CZ34" s="120"/>
      <c r="DA34" s="120"/>
      <c r="DB34" s="120"/>
      <c r="DC34" s="120"/>
      <c r="DD34" s="120"/>
      <c r="DE34" s="120"/>
      <c r="DF34" s="120"/>
      <c r="DG34" s="120"/>
      <c r="DH34" s="120"/>
      <c r="DI34" s="120"/>
      <c r="DJ34" s="120"/>
      <c r="DK34" s="120"/>
      <c r="DL34" s="120"/>
      <c r="DM34" s="120"/>
      <c r="DN34" s="120"/>
      <c r="DO34" s="120"/>
      <c r="DP34" s="120"/>
      <c r="DQ34" s="120"/>
      <c r="DR34" s="120"/>
      <c r="DS34" s="120"/>
      <c r="DT34" s="120"/>
      <c r="DU34" s="120"/>
      <c r="DV34" s="120"/>
      <c r="DW34" s="120"/>
      <c r="DX34" s="120"/>
      <c r="DY34" s="120"/>
      <c r="DZ34" s="120"/>
      <c r="EA34" s="120"/>
      <c r="EB34" s="120"/>
      <c r="EC34" s="120"/>
      <c r="ED34" s="120"/>
      <c r="EE34" s="120"/>
      <c r="EF34" s="120"/>
      <c r="EG34" s="120"/>
      <c r="EH34" s="120"/>
      <c r="EI34" s="120"/>
      <c r="EJ34" s="120"/>
      <c r="EK34" s="120"/>
      <c r="EL34" s="120"/>
      <c r="EM34" s="120"/>
      <c r="EN34" s="120"/>
      <c r="EO34" s="120"/>
      <c r="EP34" s="120"/>
      <c r="EQ34" s="120"/>
      <c r="ER34" s="120"/>
      <c r="ES34" s="120"/>
      <c r="ET34" s="120"/>
      <c r="EU34" s="120"/>
      <c r="EV34" s="120"/>
      <c r="EW34" s="120"/>
      <c r="EX34" s="120"/>
      <c r="EY34" s="120"/>
      <c r="EZ34" s="120"/>
      <c r="FA34" s="120"/>
      <c r="FB34" s="120"/>
      <c r="FC34" s="120"/>
      <c r="FD34" s="120"/>
      <c r="FE34" s="120"/>
      <c r="FF34" s="120"/>
      <c r="FG34" s="120"/>
      <c r="FH34" s="120"/>
      <c r="FI34" s="120"/>
      <c r="FJ34" s="120"/>
      <c r="FK34" s="120"/>
      <c r="FL34" s="120"/>
      <c r="FM34" s="120"/>
      <c r="FN34" s="120"/>
      <c r="FO34" s="120"/>
      <c r="FP34" s="120"/>
      <c r="FQ34" s="120"/>
      <c r="FR34" s="120"/>
      <c r="FS34" s="120"/>
      <c r="FT34" s="120"/>
      <c r="FU34" s="120"/>
      <c r="FV34" s="120"/>
      <c r="FW34" s="120"/>
      <c r="FX34" s="120"/>
      <c r="FY34" s="120"/>
      <c r="FZ34" s="120"/>
      <c r="GA34" s="120"/>
      <c r="GB34" s="120"/>
      <c r="GC34" s="120"/>
      <c r="GD34" s="120"/>
      <c r="GE34" s="120"/>
      <c r="GF34" s="120"/>
      <c r="GG34" s="120"/>
      <c r="GH34" s="120"/>
      <c r="GI34" s="120"/>
      <c r="GJ34" s="120"/>
      <c r="GK34" s="120"/>
      <c r="GL34" s="120"/>
      <c r="GM34" s="120"/>
      <c r="GN34" s="120"/>
      <c r="GO34" s="120"/>
      <c r="GP34" s="120"/>
      <c r="GQ34" s="120"/>
      <c r="GR34" s="120"/>
      <c r="GS34" s="120"/>
      <c r="GT34" s="120"/>
      <c r="GU34" s="120"/>
      <c r="GV34" s="120"/>
      <c r="GW34" s="120"/>
      <c r="GX34" s="120"/>
      <c r="GY34" s="120"/>
      <c r="GZ34" s="120"/>
      <c r="HA34" s="120"/>
      <c r="HB34" s="120"/>
      <c r="HC34" s="120"/>
      <c r="HD34" s="120"/>
      <c r="HE34" s="120"/>
      <c r="HF34" s="120"/>
      <c r="HG34" s="120"/>
      <c r="HH34" s="120"/>
      <c r="HI34" s="120"/>
      <c r="HJ34" s="120"/>
      <c r="HK34" s="120"/>
      <c r="HL34" s="120"/>
      <c r="HM34" s="120"/>
      <c r="HN34" s="120"/>
      <c r="HO34" s="120"/>
      <c r="HP34" s="120"/>
      <c r="HQ34" s="120"/>
      <c r="HR34" s="120"/>
      <c r="HS34" s="120"/>
      <c r="HT34" s="120"/>
      <c r="HU34" s="120"/>
      <c r="HV34" s="120"/>
      <c r="HW34" s="120"/>
      <c r="HX34" s="120"/>
      <c r="HY34" s="120"/>
      <c r="HZ34" s="120"/>
      <c r="IA34" s="120"/>
      <c r="IB34" s="120"/>
      <c r="IC34" s="120"/>
      <c r="ID34" s="120"/>
      <c r="IE34" s="120"/>
      <c r="IF34" s="120"/>
      <c r="IG34" s="120"/>
      <c r="IH34" s="120"/>
      <c r="II34" s="120"/>
      <c r="IJ34" s="120"/>
      <c r="IK34" s="120"/>
      <c r="IL34" s="120"/>
      <c r="IM34" s="120"/>
      <c r="IN34" s="120"/>
      <c r="IO34" s="120"/>
      <c r="IP34" s="120"/>
      <c r="IQ34" s="120"/>
      <c r="IR34" s="120"/>
      <c r="IS34" s="120"/>
      <c r="IT34" s="120"/>
      <c r="IU34" s="120"/>
      <c r="IV34" s="120"/>
      <c r="IW34" s="120"/>
      <c r="IX34" s="120"/>
      <c r="IY34" s="120"/>
      <c r="IZ34" s="120"/>
      <c r="JA34" s="120"/>
      <c r="JB34" s="120"/>
      <c r="JC34" s="120"/>
      <c r="JD34" s="120"/>
      <c r="JE34" s="120"/>
      <c r="JF34" s="120"/>
      <c r="JG34" s="120"/>
      <c r="JH34" s="120"/>
      <c r="JI34" s="120"/>
      <c r="JJ34" s="120"/>
      <c r="JK34" s="120"/>
      <c r="JL34" s="120"/>
      <c r="JM34" s="120"/>
      <c r="JN34" s="120"/>
    </row>
    <row r="35" spans="2:292" ht="20.100000000000001" customHeight="1">
      <c r="B35" s="279" t="s">
        <v>227</v>
      </c>
      <c r="C35" s="279"/>
      <c r="D35" s="279"/>
      <c r="E35" s="279"/>
      <c r="F35" s="279"/>
      <c r="G35" s="279"/>
      <c r="H35" s="279"/>
      <c r="I35" s="279"/>
      <c r="J35" s="279"/>
      <c r="K35" s="183"/>
      <c r="L35" s="183"/>
      <c r="M35" s="183"/>
      <c r="N35" s="183"/>
      <c r="O35" s="183"/>
      <c r="P35" s="183"/>
      <c r="Q35" s="183"/>
      <c r="R35" s="183"/>
      <c r="S35" s="183"/>
      <c r="T35" s="183"/>
      <c r="U35" s="183"/>
      <c r="V35" s="183"/>
      <c r="W35" s="183"/>
      <c r="X35" s="183"/>
      <c r="Y35" s="183"/>
      <c r="Z35" s="183"/>
      <c r="AA35" s="183"/>
      <c r="AB35" s="183"/>
      <c r="AC35" s="183"/>
      <c r="AD35" s="183"/>
      <c r="AE35" s="183"/>
      <c r="AF35" s="183"/>
      <c r="AG35" s="183"/>
      <c r="BR35" s="120"/>
      <c r="BS35" s="120"/>
      <c r="BT35" s="120"/>
      <c r="BU35" s="120"/>
      <c r="BV35" s="120"/>
      <c r="BW35" s="120"/>
      <c r="BX35" s="120"/>
      <c r="BY35" s="120"/>
      <c r="BZ35" s="120"/>
      <c r="CA35" s="120"/>
      <c r="CB35" s="120"/>
      <c r="CC35" s="120"/>
      <c r="CD35" s="120"/>
      <c r="CE35" s="120"/>
      <c r="CF35" s="120"/>
      <c r="CG35" s="120"/>
      <c r="CH35" s="120"/>
      <c r="CI35" s="120"/>
      <c r="CJ35" s="120"/>
      <c r="CK35" s="120"/>
      <c r="CL35" s="120"/>
      <c r="CM35" s="120"/>
      <c r="CN35" s="120"/>
      <c r="CO35" s="120"/>
      <c r="CP35" s="120"/>
      <c r="CQ35" s="120"/>
      <c r="CR35" s="120"/>
      <c r="CS35" s="120"/>
      <c r="CT35" s="120"/>
      <c r="CU35" s="120"/>
      <c r="CV35" s="120"/>
      <c r="CW35" s="120"/>
      <c r="CX35" s="120"/>
      <c r="CY35" s="120"/>
      <c r="CZ35" s="120"/>
      <c r="DA35" s="120"/>
      <c r="DB35" s="120"/>
      <c r="DC35" s="120"/>
      <c r="DD35" s="120"/>
      <c r="DE35" s="120"/>
      <c r="DF35" s="120"/>
      <c r="DG35" s="120"/>
      <c r="DH35" s="120"/>
      <c r="DI35" s="120"/>
      <c r="DJ35" s="120"/>
      <c r="DK35" s="120"/>
      <c r="DL35" s="120"/>
      <c r="DM35" s="120"/>
      <c r="DN35" s="120"/>
      <c r="DO35" s="120"/>
      <c r="DP35" s="120"/>
      <c r="DQ35" s="120"/>
      <c r="DR35" s="120"/>
      <c r="DS35" s="120"/>
      <c r="DT35" s="120"/>
      <c r="DU35" s="120"/>
      <c r="DV35" s="120"/>
      <c r="DW35" s="120"/>
      <c r="DX35" s="120"/>
      <c r="DY35" s="120"/>
      <c r="DZ35" s="120"/>
      <c r="EA35" s="120"/>
      <c r="EB35" s="120"/>
      <c r="EC35" s="120"/>
      <c r="ED35" s="120"/>
      <c r="EE35" s="120"/>
      <c r="EF35" s="120"/>
      <c r="EG35" s="120"/>
      <c r="EH35" s="120"/>
      <c r="EI35" s="120"/>
      <c r="EJ35" s="120"/>
      <c r="EK35" s="120"/>
      <c r="EL35" s="120"/>
      <c r="EM35" s="120"/>
      <c r="EN35" s="120"/>
      <c r="EO35" s="120"/>
      <c r="EP35" s="120"/>
      <c r="EQ35" s="120"/>
      <c r="ER35" s="120"/>
      <c r="ES35" s="120"/>
      <c r="ET35" s="120"/>
      <c r="EU35" s="120"/>
      <c r="EV35" s="120"/>
      <c r="EW35" s="120"/>
      <c r="EX35" s="120"/>
      <c r="EY35" s="120"/>
      <c r="EZ35" s="120"/>
      <c r="FA35" s="120"/>
      <c r="FB35" s="120"/>
      <c r="FC35" s="120"/>
      <c r="FD35" s="120"/>
      <c r="FE35" s="120"/>
      <c r="FF35" s="120"/>
      <c r="FG35" s="120"/>
      <c r="FH35" s="120"/>
      <c r="FI35" s="120"/>
      <c r="FJ35" s="120"/>
      <c r="FK35" s="120"/>
      <c r="FL35" s="120"/>
      <c r="FM35" s="120"/>
      <c r="FN35" s="120"/>
      <c r="FO35" s="120"/>
      <c r="FP35" s="120"/>
      <c r="FQ35" s="120"/>
      <c r="FR35" s="120"/>
      <c r="FS35" s="120"/>
      <c r="FT35" s="120"/>
      <c r="FU35" s="120"/>
      <c r="FV35" s="120"/>
      <c r="FW35" s="120"/>
      <c r="FX35" s="120"/>
      <c r="FY35" s="120"/>
      <c r="FZ35" s="120"/>
      <c r="GA35" s="120"/>
      <c r="GB35" s="120"/>
      <c r="GC35" s="120"/>
      <c r="GD35" s="120"/>
      <c r="GE35" s="120"/>
      <c r="GF35" s="120"/>
      <c r="GG35" s="120"/>
      <c r="GH35" s="120"/>
      <c r="GI35" s="120"/>
      <c r="GJ35" s="120"/>
      <c r="GK35" s="120"/>
      <c r="GL35" s="120"/>
      <c r="GM35" s="120"/>
      <c r="GN35" s="120"/>
      <c r="GO35" s="120"/>
      <c r="GP35" s="120"/>
      <c r="GQ35" s="120"/>
      <c r="GR35" s="120"/>
      <c r="GS35" s="120"/>
      <c r="GT35" s="120"/>
      <c r="GU35" s="120"/>
      <c r="GV35" s="120"/>
      <c r="GW35" s="120"/>
      <c r="GX35" s="120"/>
      <c r="GY35" s="120"/>
      <c r="GZ35" s="120"/>
      <c r="HA35" s="120"/>
      <c r="HB35" s="120"/>
      <c r="HC35" s="120"/>
      <c r="HD35" s="120"/>
      <c r="HE35" s="120"/>
      <c r="HF35" s="120"/>
      <c r="HG35" s="120"/>
      <c r="HH35" s="120"/>
      <c r="HI35" s="120"/>
      <c r="HJ35" s="120"/>
      <c r="HK35" s="120"/>
      <c r="HL35" s="120"/>
      <c r="HM35" s="120"/>
      <c r="HN35" s="120"/>
      <c r="HO35" s="120"/>
      <c r="HP35" s="120"/>
      <c r="HQ35" s="120"/>
      <c r="HR35" s="120"/>
      <c r="HS35" s="120"/>
      <c r="HT35" s="120"/>
      <c r="HU35" s="120"/>
      <c r="HV35" s="120"/>
      <c r="HW35" s="120"/>
      <c r="HX35" s="120"/>
      <c r="HY35" s="120"/>
      <c r="HZ35" s="120"/>
      <c r="IA35" s="120"/>
      <c r="IB35" s="120"/>
      <c r="IC35" s="120"/>
      <c r="ID35" s="120"/>
      <c r="IE35" s="120"/>
      <c r="IF35" s="120"/>
      <c r="IG35" s="120"/>
      <c r="IH35" s="120"/>
      <c r="II35" s="120"/>
      <c r="IJ35" s="120"/>
      <c r="IK35" s="120"/>
      <c r="IL35" s="120"/>
      <c r="IM35" s="120"/>
      <c r="IN35" s="120"/>
      <c r="IO35" s="120"/>
      <c r="IP35" s="120"/>
      <c r="IQ35" s="120"/>
      <c r="IR35" s="120"/>
      <c r="IS35" s="120"/>
      <c r="IT35" s="120"/>
      <c r="IU35" s="120"/>
      <c r="IV35" s="120"/>
      <c r="IW35" s="120"/>
      <c r="IX35" s="120"/>
      <c r="IY35" s="120"/>
      <c r="IZ35" s="120"/>
      <c r="JA35" s="120"/>
      <c r="JB35" s="120"/>
      <c r="JC35" s="120"/>
      <c r="JD35" s="120"/>
      <c r="JE35" s="120"/>
      <c r="JF35" s="120"/>
      <c r="JG35" s="120"/>
      <c r="JH35" s="120"/>
      <c r="JI35" s="120"/>
      <c r="JJ35" s="120"/>
      <c r="JK35" s="120"/>
      <c r="JL35" s="120"/>
      <c r="JM35" s="120"/>
      <c r="JN35" s="120"/>
    </row>
    <row r="36" spans="2:292" ht="20.100000000000001" customHeight="1">
      <c r="B36" s="279"/>
      <c r="C36" s="279"/>
      <c r="D36" s="279"/>
      <c r="E36" s="279"/>
      <c r="F36" s="279"/>
      <c r="G36" s="279"/>
      <c r="H36" s="279"/>
      <c r="I36" s="279"/>
      <c r="J36" s="279"/>
      <c r="K36" s="183"/>
      <c r="L36" s="183"/>
      <c r="M36" s="183"/>
      <c r="N36" s="183"/>
      <c r="O36" s="183"/>
      <c r="P36" s="183"/>
      <c r="Q36" s="183"/>
      <c r="R36" s="183"/>
      <c r="S36" s="183"/>
      <c r="T36" s="183"/>
      <c r="U36" s="183"/>
      <c r="V36" s="183"/>
      <c r="W36" s="183"/>
      <c r="X36" s="183"/>
      <c r="Y36" s="183"/>
      <c r="Z36" s="183"/>
      <c r="AA36" s="183"/>
      <c r="AB36" s="183"/>
      <c r="AC36" s="183"/>
      <c r="AD36" s="183"/>
      <c r="AE36" s="183"/>
      <c r="AF36" s="183"/>
      <c r="AG36" s="183"/>
      <c r="BR36" s="120"/>
      <c r="BS36" s="120"/>
      <c r="BT36" s="120"/>
      <c r="BU36" s="120"/>
      <c r="BV36" s="120"/>
      <c r="BW36" s="120"/>
      <c r="BX36" s="120"/>
      <c r="BY36" s="120"/>
      <c r="BZ36" s="120"/>
      <c r="CA36" s="120"/>
      <c r="CB36" s="120"/>
      <c r="CC36" s="120"/>
      <c r="CD36" s="120"/>
      <c r="CE36" s="120"/>
      <c r="CF36" s="120"/>
      <c r="CG36" s="120"/>
      <c r="CH36" s="120"/>
      <c r="CI36" s="120"/>
      <c r="CJ36" s="120"/>
      <c r="CK36" s="120"/>
      <c r="CL36" s="120"/>
      <c r="CM36" s="120"/>
      <c r="CN36" s="120"/>
      <c r="CO36" s="120"/>
      <c r="CP36" s="120"/>
      <c r="CQ36" s="120"/>
      <c r="CR36" s="120"/>
      <c r="CS36" s="120"/>
      <c r="CT36" s="120"/>
      <c r="CU36" s="120"/>
      <c r="CV36" s="120"/>
      <c r="CW36" s="120"/>
      <c r="CX36" s="120"/>
      <c r="CY36" s="120"/>
      <c r="CZ36" s="120"/>
      <c r="DA36" s="120"/>
      <c r="DB36" s="120"/>
      <c r="DC36" s="120"/>
      <c r="DD36" s="120"/>
      <c r="DE36" s="120"/>
      <c r="DF36" s="120"/>
      <c r="DG36" s="120"/>
      <c r="DH36" s="120"/>
      <c r="DI36" s="120"/>
      <c r="DJ36" s="120"/>
      <c r="DK36" s="120"/>
      <c r="DL36" s="120"/>
      <c r="DM36" s="120"/>
      <c r="DN36" s="120"/>
      <c r="DO36" s="120"/>
      <c r="DP36" s="120"/>
      <c r="DQ36" s="120"/>
      <c r="DR36" s="120"/>
      <c r="DS36" s="120"/>
      <c r="DT36" s="120"/>
      <c r="DU36" s="120"/>
      <c r="DV36" s="120"/>
      <c r="DW36" s="120"/>
      <c r="DX36" s="120"/>
      <c r="DY36" s="120"/>
      <c r="DZ36" s="120"/>
      <c r="EA36" s="120"/>
      <c r="EB36" s="120"/>
      <c r="EC36" s="120"/>
      <c r="ED36" s="120"/>
      <c r="EE36" s="120"/>
      <c r="EF36" s="120"/>
      <c r="EG36" s="120"/>
      <c r="EH36" s="120"/>
      <c r="EI36" s="120"/>
      <c r="EJ36" s="120"/>
      <c r="EK36" s="120"/>
      <c r="EL36" s="120"/>
      <c r="EM36" s="120"/>
      <c r="EN36" s="120"/>
      <c r="EO36" s="120"/>
      <c r="EP36" s="120"/>
      <c r="EQ36" s="120"/>
      <c r="ER36" s="120"/>
      <c r="ES36" s="120"/>
      <c r="ET36" s="120"/>
      <c r="EU36" s="120"/>
      <c r="EV36" s="120"/>
      <c r="EW36" s="120"/>
      <c r="EX36" s="120"/>
      <c r="EY36" s="120"/>
      <c r="EZ36" s="120"/>
      <c r="FA36" s="120"/>
      <c r="FB36" s="120"/>
      <c r="FC36" s="120"/>
      <c r="FD36" s="120"/>
      <c r="FE36" s="120"/>
      <c r="FF36" s="120"/>
      <c r="FG36" s="120"/>
      <c r="FH36" s="120"/>
      <c r="FI36" s="120"/>
      <c r="FJ36" s="120"/>
      <c r="FK36" s="120"/>
      <c r="FL36" s="120"/>
      <c r="FM36" s="120"/>
      <c r="FN36" s="120"/>
      <c r="FO36" s="120"/>
      <c r="FP36" s="120"/>
      <c r="FQ36" s="120"/>
      <c r="FR36" s="120"/>
      <c r="FS36" s="120"/>
      <c r="FT36" s="120"/>
      <c r="FU36" s="120"/>
      <c r="FV36" s="120"/>
      <c r="FW36" s="120"/>
      <c r="FX36" s="120"/>
      <c r="FY36" s="120"/>
      <c r="FZ36" s="120"/>
      <c r="GA36" s="120"/>
      <c r="GB36" s="120"/>
      <c r="GC36" s="120"/>
      <c r="GD36" s="120"/>
      <c r="GE36" s="120"/>
      <c r="GF36" s="120"/>
      <c r="GG36" s="120"/>
      <c r="GH36" s="120"/>
      <c r="GI36" s="120"/>
      <c r="GJ36" s="120"/>
      <c r="GK36" s="120"/>
      <c r="GL36" s="120"/>
      <c r="GM36" s="120"/>
      <c r="GN36" s="120"/>
      <c r="GO36" s="120"/>
      <c r="GP36" s="120"/>
      <c r="GQ36" s="120"/>
      <c r="GR36" s="120"/>
      <c r="GS36" s="120"/>
      <c r="GT36" s="120"/>
      <c r="GU36" s="120"/>
      <c r="GV36" s="120"/>
      <c r="GW36" s="120"/>
      <c r="GX36" s="120"/>
      <c r="GY36" s="120"/>
      <c r="GZ36" s="120"/>
      <c r="HA36" s="120"/>
      <c r="HB36" s="120"/>
      <c r="HC36" s="120"/>
      <c r="HD36" s="120"/>
      <c r="HE36" s="120"/>
      <c r="HF36" s="120"/>
      <c r="HG36" s="120"/>
      <c r="HH36" s="120"/>
      <c r="HI36" s="120"/>
      <c r="HJ36" s="120"/>
      <c r="HK36" s="120"/>
      <c r="HL36" s="120"/>
      <c r="HM36" s="120"/>
      <c r="HN36" s="120"/>
      <c r="HO36" s="120"/>
      <c r="HP36" s="120"/>
      <c r="HQ36" s="120"/>
      <c r="HR36" s="120"/>
      <c r="HS36" s="120"/>
      <c r="HT36" s="120"/>
      <c r="HU36" s="120"/>
      <c r="HV36" s="120"/>
      <c r="HW36" s="120"/>
      <c r="HX36" s="120"/>
      <c r="HY36" s="120"/>
      <c r="HZ36" s="120"/>
      <c r="IA36" s="120"/>
      <c r="IB36" s="120"/>
      <c r="IC36" s="120"/>
      <c r="ID36" s="120"/>
      <c r="IE36" s="120"/>
      <c r="IF36" s="120"/>
      <c r="IG36" s="120"/>
      <c r="IH36" s="120"/>
      <c r="II36" s="120"/>
      <c r="IJ36" s="120"/>
      <c r="IK36" s="120"/>
      <c r="IL36" s="120"/>
      <c r="IM36" s="120"/>
      <c r="IN36" s="120"/>
      <c r="IO36" s="120"/>
      <c r="IP36" s="120"/>
      <c r="IQ36" s="120"/>
      <c r="IR36" s="120"/>
      <c r="IS36" s="120"/>
      <c r="IT36" s="120"/>
      <c r="IU36" s="120"/>
      <c r="IV36" s="120"/>
      <c r="IW36" s="120"/>
      <c r="IX36" s="120"/>
      <c r="IY36" s="120"/>
      <c r="IZ36" s="120"/>
      <c r="JA36" s="120"/>
      <c r="JB36" s="120"/>
      <c r="JC36" s="120"/>
      <c r="JD36" s="120"/>
      <c r="JE36" s="120"/>
      <c r="JF36" s="120"/>
      <c r="JG36" s="120"/>
      <c r="JH36" s="120"/>
      <c r="JI36" s="120"/>
      <c r="JJ36" s="120"/>
      <c r="JK36" s="120"/>
      <c r="JL36" s="120"/>
      <c r="JM36" s="120"/>
      <c r="JN36" s="120"/>
    </row>
    <row r="37" spans="2:292" ht="20.100000000000001" customHeight="1">
      <c r="B37" s="279"/>
      <c r="C37" s="279"/>
      <c r="D37" s="279"/>
      <c r="E37" s="279"/>
      <c r="F37" s="279"/>
      <c r="G37" s="279"/>
      <c r="H37" s="279"/>
      <c r="I37" s="279"/>
      <c r="J37" s="279"/>
      <c r="K37" s="183"/>
      <c r="L37" s="183"/>
      <c r="M37" s="183"/>
      <c r="N37" s="183"/>
      <c r="O37" s="183"/>
      <c r="P37" s="183"/>
      <c r="Q37" s="183"/>
      <c r="R37" s="183"/>
      <c r="S37" s="183"/>
      <c r="T37" s="183"/>
      <c r="U37" s="183"/>
      <c r="V37" s="183"/>
      <c r="W37" s="183"/>
      <c r="X37" s="183"/>
      <c r="Y37" s="183"/>
      <c r="Z37" s="183"/>
      <c r="AA37" s="183"/>
      <c r="AB37" s="183"/>
      <c r="AC37" s="183"/>
      <c r="AD37" s="183"/>
      <c r="AE37" s="183"/>
      <c r="AF37" s="183"/>
      <c r="AG37" s="183"/>
      <c r="BR37" s="120"/>
      <c r="BS37" s="120"/>
      <c r="BT37" s="120"/>
      <c r="BU37" s="120"/>
      <c r="BV37" s="120"/>
      <c r="BW37" s="120"/>
      <c r="BX37" s="120"/>
      <c r="BY37" s="120"/>
      <c r="BZ37" s="120"/>
      <c r="CA37" s="120"/>
      <c r="CB37" s="120"/>
      <c r="CC37" s="120"/>
      <c r="CD37" s="120"/>
      <c r="CE37" s="120"/>
      <c r="CF37" s="120"/>
      <c r="CG37" s="120"/>
      <c r="CH37" s="120"/>
      <c r="CI37" s="120"/>
      <c r="CJ37" s="120"/>
      <c r="CK37" s="120"/>
      <c r="CL37" s="120"/>
      <c r="CM37" s="120"/>
      <c r="CN37" s="120"/>
      <c r="CO37" s="120"/>
      <c r="CP37" s="120"/>
      <c r="CQ37" s="120"/>
      <c r="CR37" s="120"/>
      <c r="CS37" s="120"/>
      <c r="CT37" s="120"/>
      <c r="CU37" s="120"/>
      <c r="CV37" s="120"/>
      <c r="CW37" s="120"/>
      <c r="CX37" s="120"/>
      <c r="CY37" s="120"/>
      <c r="CZ37" s="120"/>
      <c r="DA37" s="120"/>
      <c r="DB37" s="120"/>
      <c r="DC37" s="120"/>
      <c r="DD37" s="120"/>
      <c r="DE37" s="120"/>
      <c r="DF37" s="120"/>
      <c r="DG37" s="120"/>
      <c r="DH37" s="120"/>
      <c r="DI37" s="120"/>
      <c r="DJ37" s="120"/>
      <c r="DK37" s="120"/>
      <c r="DL37" s="120"/>
      <c r="DM37" s="120"/>
      <c r="DN37" s="120"/>
      <c r="DO37" s="120"/>
      <c r="DP37" s="120"/>
      <c r="DQ37" s="120"/>
      <c r="DR37" s="120"/>
      <c r="DS37" s="120"/>
      <c r="DT37" s="120"/>
      <c r="DU37" s="120"/>
      <c r="DV37" s="120"/>
      <c r="DW37" s="120"/>
      <c r="DX37" s="120"/>
      <c r="DY37" s="120"/>
      <c r="DZ37" s="120"/>
      <c r="EA37" s="120"/>
      <c r="EB37" s="120"/>
      <c r="EC37" s="120"/>
      <c r="ED37" s="120"/>
      <c r="EE37" s="120"/>
      <c r="EF37" s="120"/>
      <c r="EG37" s="120"/>
      <c r="EH37" s="120"/>
      <c r="EI37" s="120"/>
      <c r="EJ37" s="120"/>
      <c r="EK37" s="120"/>
      <c r="EL37" s="120"/>
      <c r="EM37" s="120"/>
      <c r="EN37" s="120"/>
      <c r="EO37" s="120"/>
      <c r="EP37" s="120"/>
      <c r="EQ37" s="120"/>
      <c r="ER37" s="120"/>
      <c r="ES37" s="120"/>
      <c r="ET37" s="120"/>
      <c r="EU37" s="120"/>
      <c r="EV37" s="120"/>
      <c r="EW37" s="120"/>
      <c r="EX37" s="120"/>
      <c r="EY37" s="120"/>
      <c r="EZ37" s="120"/>
      <c r="FA37" s="120"/>
      <c r="FB37" s="120"/>
      <c r="FC37" s="120"/>
      <c r="FD37" s="120"/>
      <c r="FE37" s="120"/>
      <c r="FF37" s="120"/>
      <c r="FG37" s="120"/>
      <c r="FH37" s="120"/>
      <c r="FI37" s="120"/>
      <c r="FJ37" s="120"/>
      <c r="FK37" s="120"/>
      <c r="FL37" s="120"/>
      <c r="FM37" s="120"/>
      <c r="FN37" s="120"/>
      <c r="FO37" s="120"/>
      <c r="FP37" s="120"/>
      <c r="FQ37" s="120"/>
      <c r="FR37" s="120"/>
      <c r="FS37" s="120"/>
      <c r="FT37" s="120"/>
      <c r="FU37" s="120"/>
      <c r="FV37" s="120"/>
      <c r="FW37" s="120"/>
      <c r="FX37" s="120"/>
      <c r="FY37" s="120"/>
      <c r="FZ37" s="120"/>
      <c r="GA37" s="120"/>
      <c r="GB37" s="120"/>
      <c r="GC37" s="120"/>
      <c r="GD37" s="120"/>
      <c r="GE37" s="120"/>
      <c r="GF37" s="120"/>
      <c r="GG37" s="120"/>
      <c r="GH37" s="120"/>
      <c r="GI37" s="120"/>
      <c r="GJ37" s="120"/>
      <c r="GK37" s="120"/>
      <c r="GL37" s="120"/>
      <c r="GM37" s="120"/>
      <c r="GN37" s="120"/>
      <c r="GO37" s="120"/>
      <c r="GP37" s="120"/>
      <c r="GQ37" s="120"/>
      <c r="GR37" s="120"/>
      <c r="GS37" s="120"/>
      <c r="GT37" s="120"/>
      <c r="GU37" s="120"/>
      <c r="GV37" s="120"/>
      <c r="GW37" s="120"/>
      <c r="GX37" s="120"/>
      <c r="GY37" s="120"/>
      <c r="GZ37" s="120"/>
      <c r="HA37" s="120"/>
      <c r="HB37" s="120"/>
      <c r="HC37" s="120"/>
      <c r="HD37" s="120"/>
      <c r="HE37" s="120"/>
      <c r="HF37" s="120"/>
      <c r="HG37" s="120"/>
      <c r="HH37" s="120"/>
      <c r="HI37" s="120"/>
      <c r="HJ37" s="120"/>
      <c r="HK37" s="120"/>
      <c r="HL37" s="120"/>
      <c r="HM37" s="120"/>
      <c r="HN37" s="120"/>
      <c r="HO37" s="120"/>
      <c r="HP37" s="120"/>
      <c r="HQ37" s="120"/>
      <c r="HR37" s="120"/>
      <c r="HS37" s="120"/>
      <c r="HT37" s="120"/>
      <c r="HU37" s="120"/>
      <c r="HV37" s="120"/>
      <c r="HW37" s="120"/>
      <c r="HX37" s="120"/>
      <c r="HY37" s="120"/>
      <c r="HZ37" s="120"/>
      <c r="IA37" s="120"/>
      <c r="IB37" s="120"/>
      <c r="IC37" s="120"/>
      <c r="ID37" s="120"/>
      <c r="IE37" s="120"/>
      <c r="IF37" s="120"/>
      <c r="IG37" s="120"/>
      <c r="IH37" s="120"/>
      <c r="II37" s="120"/>
      <c r="IJ37" s="120"/>
      <c r="IK37" s="120"/>
      <c r="IL37" s="120"/>
      <c r="IM37" s="120"/>
      <c r="IN37" s="120"/>
      <c r="IO37" s="120"/>
      <c r="IP37" s="120"/>
      <c r="IQ37" s="120"/>
      <c r="IR37" s="120"/>
      <c r="IS37" s="120"/>
      <c r="IT37" s="120"/>
      <c r="IU37" s="120"/>
      <c r="IV37" s="120"/>
      <c r="IW37" s="120"/>
      <c r="IX37" s="120"/>
      <c r="IY37" s="120"/>
      <c r="IZ37" s="120"/>
      <c r="JA37" s="120"/>
      <c r="JB37" s="120"/>
      <c r="JC37" s="120"/>
      <c r="JD37" s="120"/>
      <c r="JE37" s="120"/>
      <c r="JF37" s="120"/>
      <c r="JG37" s="120"/>
      <c r="JH37" s="120"/>
      <c r="JI37" s="120"/>
      <c r="JJ37" s="120"/>
      <c r="JK37" s="120"/>
      <c r="JL37" s="120"/>
      <c r="JM37" s="120"/>
      <c r="JN37" s="120"/>
    </row>
    <row r="38" spans="2:292" ht="20.100000000000001" customHeight="1">
      <c r="B38" s="279"/>
      <c r="C38" s="279"/>
      <c r="D38" s="279"/>
      <c r="E38" s="279"/>
      <c r="F38" s="279"/>
      <c r="G38" s="279"/>
      <c r="H38" s="279"/>
      <c r="I38" s="279"/>
      <c r="J38" s="279"/>
      <c r="K38" s="183"/>
      <c r="L38" s="183"/>
      <c r="M38" s="183"/>
      <c r="N38" s="183"/>
      <c r="O38" s="183"/>
      <c r="P38" s="183"/>
      <c r="Q38" s="183"/>
      <c r="R38" s="183"/>
      <c r="S38" s="183"/>
      <c r="T38" s="183"/>
      <c r="U38" s="183"/>
      <c r="V38" s="183"/>
      <c r="W38" s="183"/>
      <c r="X38" s="183"/>
      <c r="Y38" s="183"/>
      <c r="Z38" s="183"/>
      <c r="AA38" s="183"/>
      <c r="AB38" s="183"/>
      <c r="AC38" s="183"/>
      <c r="AD38" s="183"/>
      <c r="AE38" s="183"/>
      <c r="AF38" s="183"/>
      <c r="AG38" s="183"/>
      <c r="BR38" s="120"/>
      <c r="BS38" s="120"/>
      <c r="BT38" s="120"/>
      <c r="BU38" s="120"/>
      <c r="BV38" s="120"/>
      <c r="BW38" s="120"/>
      <c r="BX38" s="120"/>
      <c r="BY38" s="120"/>
      <c r="BZ38" s="120"/>
      <c r="CA38" s="120"/>
      <c r="CB38" s="120"/>
      <c r="CC38" s="120"/>
      <c r="CD38" s="120"/>
      <c r="CE38" s="120"/>
      <c r="CF38" s="120"/>
      <c r="CG38" s="120"/>
      <c r="CH38" s="120"/>
      <c r="CI38" s="120"/>
      <c r="CJ38" s="120"/>
      <c r="CK38" s="120"/>
      <c r="CL38" s="120"/>
      <c r="CM38" s="120"/>
      <c r="CN38" s="120"/>
      <c r="CO38" s="120"/>
      <c r="CP38" s="120"/>
      <c r="CQ38" s="120"/>
      <c r="CR38" s="120"/>
      <c r="CS38" s="120"/>
      <c r="CT38" s="120"/>
      <c r="CU38" s="120"/>
      <c r="CV38" s="120"/>
      <c r="CW38" s="120"/>
      <c r="CX38" s="120"/>
      <c r="CY38" s="120"/>
      <c r="CZ38" s="120"/>
      <c r="DA38" s="120"/>
      <c r="DB38" s="120"/>
      <c r="DC38" s="120"/>
      <c r="DD38" s="120"/>
      <c r="DE38" s="120"/>
      <c r="DF38" s="120"/>
      <c r="DG38" s="120"/>
      <c r="DH38" s="120"/>
      <c r="DI38" s="120"/>
      <c r="DJ38" s="120"/>
      <c r="DK38" s="120"/>
      <c r="DL38" s="120"/>
      <c r="DM38" s="120"/>
      <c r="DN38" s="120"/>
      <c r="DO38" s="120"/>
      <c r="DP38" s="120"/>
      <c r="DQ38" s="120"/>
      <c r="DR38" s="120"/>
      <c r="DS38" s="120"/>
      <c r="DT38" s="120"/>
      <c r="DU38" s="120"/>
      <c r="DV38" s="120"/>
      <c r="DW38" s="120"/>
      <c r="DX38" s="120"/>
      <c r="DY38" s="120"/>
      <c r="DZ38" s="120"/>
      <c r="EA38" s="120"/>
      <c r="EB38" s="120"/>
      <c r="EC38" s="120"/>
      <c r="ED38" s="120"/>
      <c r="EE38" s="120"/>
      <c r="EF38" s="120"/>
      <c r="EG38" s="120"/>
      <c r="EH38" s="120"/>
      <c r="EI38" s="120"/>
      <c r="EJ38" s="120"/>
      <c r="EK38" s="120"/>
      <c r="EL38" s="120"/>
      <c r="EM38" s="120"/>
      <c r="EN38" s="120"/>
      <c r="EO38" s="120"/>
      <c r="EP38" s="120"/>
      <c r="EQ38" s="120"/>
      <c r="ER38" s="120"/>
      <c r="ES38" s="120"/>
      <c r="ET38" s="120"/>
      <c r="EU38" s="120"/>
      <c r="EV38" s="120"/>
      <c r="EW38" s="120"/>
      <c r="EX38" s="120"/>
      <c r="EY38" s="120"/>
      <c r="EZ38" s="120"/>
      <c r="FA38" s="120"/>
      <c r="FB38" s="120"/>
      <c r="FC38" s="120"/>
      <c r="FD38" s="120"/>
      <c r="FE38" s="120"/>
      <c r="FF38" s="120"/>
      <c r="FG38" s="120"/>
      <c r="FH38" s="120"/>
      <c r="FI38" s="120"/>
      <c r="FJ38" s="120"/>
      <c r="FK38" s="120"/>
      <c r="FL38" s="120"/>
      <c r="FM38" s="120"/>
      <c r="FN38" s="120"/>
      <c r="FO38" s="120"/>
      <c r="FP38" s="120"/>
      <c r="FQ38" s="120"/>
      <c r="FR38" s="120"/>
      <c r="FS38" s="120"/>
      <c r="FT38" s="120"/>
      <c r="FU38" s="120"/>
      <c r="FV38" s="120"/>
      <c r="FW38" s="120"/>
      <c r="FX38" s="120"/>
      <c r="FY38" s="120"/>
      <c r="FZ38" s="120"/>
      <c r="GA38" s="120"/>
      <c r="GB38" s="120"/>
      <c r="GC38" s="120"/>
      <c r="GD38" s="120"/>
      <c r="GE38" s="120"/>
      <c r="GF38" s="120"/>
      <c r="GG38" s="120"/>
      <c r="GH38" s="120"/>
      <c r="GI38" s="120"/>
      <c r="GJ38" s="120"/>
      <c r="GK38" s="120"/>
      <c r="GL38" s="120"/>
      <c r="GM38" s="120"/>
      <c r="GN38" s="120"/>
      <c r="GO38" s="120"/>
      <c r="GP38" s="120"/>
      <c r="GQ38" s="120"/>
      <c r="GR38" s="120"/>
      <c r="GS38" s="120"/>
      <c r="GT38" s="120"/>
      <c r="GU38" s="120"/>
      <c r="GV38" s="120"/>
      <c r="GW38" s="120"/>
      <c r="GX38" s="120"/>
      <c r="GY38" s="120"/>
      <c r="GZ38" s="120"/>
      <c r="HA38" s="120"/>
      <c r="HB38" s="120"/>
      <c r="HC38" s="120"/>
      <c r="HD38" s="120"/>
      <c r="HE38" s="120"/>
      <c r="HF38" s="120"/>
      <c r="HG38" s="120"/>
      <c r="HH38" s="120"/>
      <c r="HI38" s="120"/>
      <c r="HJ38" s="120"/>
      <c r="HK38" s="120"/>
      <c r="HL38" s="120"/>
      <c r="HM38" s="120"/>
      <c r="HN38" s="120"/>
      <c r="HO38" s="120"/>
      <c r="HP38" s="120"/>
      <c r="HQ38" s="120"/>
      <c r="HR38" s="120"/>
      <c r="HS38" s="120"/>
      <c r="HT38" s="120"/>
      <c r="HU38" s="120"/>
      <c r="HV38" s="120"/>
      <c r="HW38" s="120"/>
      <c r="HX38" s="120"/>
      <c r="HY38" s="120"/>
      <c r="HZ38" s="120"/>
      <c r="IA38" s="120"/>
      <c r="IB38" s="120"/>
      <c r="IC38" s="120"/>
      <c r="ID38" s="120"/>
      <c r="IE38" s="120"/>
      <c r="IF38" s="120"/>
      <c r="IG38" s="120"/>
      <c r="IH38" s="120"/>
      <c r="II38" s="120"/>
      <c r="IJ38" s="120"/>
      <c r="IK38" s="120"/>
      <c r="IL38" s="120"/>
      <c r="IM38" s="120"/>
      <c r="IN38" s="120"/>
      <c r="IO38" s="120"/>
      <c r="IP38" s="120"/>
      <c r="IQ38" s="120"/>
      <c r="IR38" s="120"/>
      <c r="IS38" s="120"/>
      <c r="IT38" s="120"/>
      <c r="IU38" s="120"/>
      <c r="IV38" s="120"/>
      <c r="IW38" s="120"/>
      <c r="IX38" s="120"/>
      <c r="IY38" s="120"/>
      <c r="IZ38" s="120"/>
      <c r="JA38" s="120"/>
      <c r="JB38" s="120"/>
      <c r="JC38" s="120"/>
      <c r="JD38" s="120"/>
      <c r="JE38" s="120"/>
      <c r="JF38" s="120"/>
      <c r="JG38" s="120"/>
      <c r="JH38" s="120"/>
      <c r="JI38" s="120"/>
      <c r="JJ38" s="120"/>
      <c r="JK38" s="120"/>
      <c r="JL38" s="120"/>
      <c r="JM38" s="120"/>
      <c r="JN38" s="120"/>
    </row>
    <row r="39" spans="2:292" ht="20.100000000000001" customHeight="1">
      <c r="B39" s="279"/>
      <c r="C39" s="279"/>
      <c r="D39" s="279"/>
      <c r="E39" s="279"/>
      <c r="F39" s="279"/>
      <c r="G39" s="279"/>
      <c r="H39" s="279"/>
      <c r="I39" s="279"/>
      <c r="J39" s="279"/>
      <c r="K39" s="183"/>
      <c r="L39" s="183"/>
      <c r="M39" s="183"/>
      <c r="N39" s="183"/>
      <c r="O39" s="183"/>
      <c r="P39" s="183"/>
      <c r="Q39" s="183"/>
      <c r="R39" s="183"/>
      <c r="S39" s="183"/>
      <c r="T39" s="183"/>
      <c r="U39" s="183"/>
      <c r="V39" s="183"/>
      <c r="W39" s="183"/>
      <c r="X39" s="183"/>
      <c r="Y39" s="183"/>
      <c r="Z39" s="183"/>
      <c r="AA39" s="183"/>
      <c r="AB39" s="183"/>
      <c r="AC39" s="183"/>
      <c r="AD39" s="183"/>
      <c r="AE39" s="183"/>
      <c r="AF39" s="183"/>
      <c r="AG39" s="183"/>
      <c r="BR39" s="120"/>
      <c r="BS39" s="120"/>
      <c r="BT39" s="120"/>
      <c r="BU39" s="120"/>
      <c r="BV39" s="120"/>
      <c r="BW39" s="120"/>
      <c r="BX39" s="120"/>
      <c r="BY39" s="120"/>
      <c r="BZ39" s="120"/>
      <c r="CA39" s="120"/>
      <c r="CB39" s="120"/>
      <c r="CC39" s="120"/>
      <c r="CD39" s="120"/>
      <c r="CE39" s="120"/>
      <c r="CF39" s="120"/>
      <c r="CG39" s="120"/>
      <c r="CH39" s="120"/>
      <c r="CI39" s="120"/>
      <c r="CJ39" s="120"/>
      <c r="CK39" s="120"/>
      <c r="CL39" s="120"/>
      <c r="CM39" s="120"/>
      <c r="CN39" s="120"/>
      <c r="CO39" s="120"/>
      <c r="CP39" s="120"/>
      <c r="CQ39" s="120"/>
      <c r="CR39" s="120"/>
      <c r="CS39" s="120"/>
      <c r="CT39" s="120"/>
      <c r="CU39" s="120"/>
      <c r="CV39" s="120"/>
      <c r="CW39" s="120"/>
      <c r="CX39" s="120"/>
      <c r="CY39" s="120"/>
      <c r="CZ39" s="120"/>
      <c r="DA39" s="120"/>
      <c r="DB39" s="120"/>
      <c r="DC39" s="120"/>
      <c r="DD39" s="120"/>
      <c r="DE39" s="120"/>
      <c r="DF39" s="120"/>
      <c r="DG39" s="120"/>
      <c r="DH39" s="120"/>
      <c r="DI39" s="120"/>
      <c r="DJ39" s="120"/>
      <c r="DK39" s="120"/>
      <c r="DL39" s="120"/>
      <c r="DM39" s="120"/>
      <c r="DN39" s="120"/>
      <c r="DO39" s="120"/>
      <c r="DP39" s="120"/>
      <c r="DQ39" s="120"/>
      <c r="DR39" s="120"/>
      <c r="DS39" s="120"/>
      <c r="DT39" s="120"/>
      <c r="DU39" s="120"/>
      <c r="DV39" s="120"/>
      <c r="DW39" s="120"/>
      <c r="DX39" s="120"/>
      <c r="DY39" s="120"/>
      <c r="DZ39" s="120"/>
      <c r="EA39" s="120"/>
      <c r="EB39" s="120"/>
      <c r="EC39" s="120"/>
      <c r="ED39" s="120"/>
      <c r="EE39" s="120"/>
      <c r="EF39" s="120"/>
      <c r="EG39" s="120"/>
      <c r="EH39" s="120"/>
      <c r="EI39" s="120"/>
      <c r="EJ39" s="120"/>
      <c r="EK39" s="120"/>
      <c r="EL39" s="120"/>
      <c r="EM39" s="120"/>
      <c r="EN39" s="120"/>
      <c r="EO39" s="120"/>
      <c r="EP39" s="120"/>
      <c r="EQ39" s="120"/>
      <c r="ER39" s="120"/>
      <c r="ES39" s="120"/>
      <c r="ET39" s="120"/>
      <c r="EU39" s="120"/>
      <c r="EV39" s="120"/>
      <c r="EW39" s="120"/>
      <c r="EX39" s="120"/>
      <c r="EY39" s="120"/>
      <c r="EZ39" s="120"/>
      <c r="FA39" s="120"/>
      <c r="FB39" s="120"/>
      <c r="FC39" s="120"/>
      <c r="FD39" s="120"/>
      <c r="FE39" s="120"/>
      <c r="FF39" s="120"/>
      <c r="FG39" s="120"/>
      <c r="FH39" s="120"/>
      <c r="FI39" s="120"/>
      <c r="FJ39" s="120"/>
      <c r="FK39" s="120"/>
      <c r="FL39" s="120"/>
      <c r="FM39" s="120"/>
      <c r="FN39" s="120"/>
      <c r="FO39" s="120"/>
      <c r="FP39" s="120"/>
      <c r="FQ39" s="120"/>
      <c r="FR39" s="120"/>
      <c r="FS39" s="120"/>
      <c r="FT39" s="120"/>
      <c r="FU39" s="120"/>
      <c r="FV39" s="120"/>
      <c r="FW39" s="120"/>
      <c r="FX39" s="120"/>
      <c r="FY39" s="120"/>
      <c r="FZ39" s="120"/>
      <c r="GA39" s="120"/>
      <c r="GB39" s="120"/>
      <c r="GC39" s="120"/>
      <c r="GD39" s="120"/>
      <c r="GE39" s="120"/>
      <c r="GF39" s="120"/>
      <c r="GG39" s="120"/>
      <c r="GH39" s="120"/>
      <c r="GI39" s="120"/>
      <c r="GJ39" s="120"/>
      <c r="GK39" s="120"/>
      <c r="GL39" s="120"/>
      <c r="GM39" s="120"/>
      <c r="GN39" s="120"/>
      <c r="GO39" s="120"/>
      <c r="GP39" s="120"/>
      <c r="GQ39" s="120"/>
      <c r="GR39" s="120"/>
      <c r="GS39" s="120"/>
      <c r="GT39" s="120"/>
      <c r="GU39" s="120"/>
      <c r="GV39" s="120"/>
      <c r="GW39" s="120"/>
      <c r="GX39" s="120"/>
      <c r="GY39" s="120"/>
      <c r="GZ39" s="120"/>
      <c r="HA39" s="120"/>
      <c r="HB39" s="120"/>
      <c r="HC39" s="120"/>
      <c r="HD39" s="120"/>
      <c r="HE39" s="120"/>
      <c r="HF39" s="120"/>
      <c r="HG39" s="120"/>
      <c r="HH39" s="120"/>
      <c r="HI39" s="120"/>
      <c r="HJ39" s="120"/>
      <c r="HK39" s="120"/>
      <c r="HL39" s="120"/>
      <c r="HM39" s="120"/>
      <c r="HN39" s="120"/>
      <c r="HO39" s="120"/>
      <c r="HP39" s="120"/>
      <c r="HQ39" s="120"/>
      <c r="HR39" s="120"/>
      <c r="HS39" s="120"/>
      <c r="HT39" s="120"/>
      <c r="HU39" s="120"/>
      <c r="HV39" s="120"/>
      <c r="HW39" s="120"/>
      <c r="HX39" s="120"/>
      <c r="HY39" s="120"/>
      <c r="HZ39" s="120"/>
      <c r="IA39" s="120"/>
      <c r="IB39" s="120"/>
      <c r="IC39" s="120"/>
      <c r="ID39" s="120"/>
      <c r="IE39" s="120"/>
      <c r="IF39" s="120"/>
      <c r="IG39" s="120"/>
      <c r="IH39" s="120"/>
      <c r="II39" s="120"/>
      <c r="IJ39" s="120"/>
      <c r="IK39" s="120"/>
      <c r="IL39" s="120"/>
      <c r="IM39" s="120"/>
      <c r="IN39" s="120"/>
      <c r="IO39" s="120"/>
      <c r="IP39" s="120"/>
      <c r="IQ39" s="120"/>
      <c r="IR39" s="120"/>
      <c r="IS39" s="120"/>
      <c r="IT39" s="120"/>
      <c r="IU39" s="120"/>
      <c r="IV39" s="120"/>
      <c r="IW39" s="120"/>
      <c r="IX39" s="120"/>
      <c r="IY39" s="120"/>
      <c r="IZ39" s="120"/>
      <c r="JA39" s="120"/>
      <c r="JB39" s="120"/>
      <c r="JC39" s="120"/>
      <c r="JD39" s="120"/>
      <c r="JE39" s="120"/>
      <c r="JF39" s="120"/>
      <c r="JG39" s="120"/>
      <c r="JH39" s="120"/>
      <c r="JI39" s="120"/>
      <c r="JJ39" s="120"/>
      <c r="JK39" s="120"/>
      <c r="JL39" s="120"/>
      <c r="JM39" s="120"/>
      <c r="JN39" s="120"/>
    </row>
    <row r="40" spans="2:292" ht="20.100000000000001" customHeight="1">
      <c r="B40" s="279"/>
      <c r="C40" s="279"/>
      <c r="D40" s="279"/>
      <c r="E40" s="279"/>
      <c r="F40" s="279"/>
      <c r="G40" s="279"/>
      <c r="H40" s="279"/>
      <c r="I40" s="279"/>
      <c r="J40" s="279"/>
      <c r="K40" s="121"/>
      <c r="L40" s="121"/>
      <c r="M40" s="121"/>
      <c r="N40" s="121"/>
      <c r="O40" s="121"/>
      <c r="P40" s="121"/>
      <c r="Q40" s="121"/>
      <c r="R40" s="121"/>
      <c r="S40" s="121"/>
      <c r="T40" s="121"/>
      <c r="U40" s="158" t="e">
        <f>I15*#REF!</f>
        <v>#REF!</v>
      </c>
      <c r="V40" s="121"/>
      <c r="W40" s="158">
        <f>AA20*1.22</f>
        <v>0</v>
      </c>
      <c r="X40" s="158" t="e">
        <f>W40*#REF!</f>
        <v>#REF!</v>
      </c>
      <c r="Y40" s="158" t="e">
        <f>W40*#REF!</f>
        <v>#REF!</v>
      </c>
      <c r="Z40" s="121"/>
      <c r="AA40" s="121"/>
      <c r="AB40" s="121"/>
      <c r="AC40" s="121"/>
      <c r="AD40" s="121"/>
      <c r="AE40" s="121"/>
      <c r="AF40" s="121"/>
      <c r="AG40" s="121"/>
      <c r="BR40" s="120"/>
      <c r="BS40" s="120"/>
      <c r="BT40" s="120"/>
      <c r="BU40" s="120"/>
      <c r="BV40" s="120"/>
      <c r="BW40" s="120"/>
      <c r="BX40" s="120"/>
      <c r="BY40" s="120"/>
      <c r="BZ40" s="120"/>
      <c r="CA40" s="120"/>
      <c r="CB40" s="120"/>
      <c r="CC40" s="120"/>
      <c r="CD40" s="120"/>
      <c r="CE40" s="120"/>
      <c r="CF40" s="120"/>
      <c r="CG40" s="120"/>
      <c r="CH40" s="120"/>
      <c r="CI40" s="120"/>
      <c r="CJ40" s="120"/>
      <c r="CK40" s="120"/>
      <c r="CL40" s="120"/>
      <c r="CM40" s="120"/>
      <c r="CN40" s="120"/>
      <c r="CO40" s="120"/>
      <c r="CP40" s="120"/>
      <c r="CQ40" s="120"/>
      <c r="CR40" s="120"/>
      <c r="CS40" s="120"/>
      <c r="CT40" s="120"/>
      <c r="CU40" s="120"/>
      <c r="CV40" s="120"/>
      <c r="CW40" s="120"/>
      <c r="CX40" s="120"/>
      <c r="CY40" s="120"/>
      <c r="CZ40" s="120"/>
      <c r="DA40" s="120"/>
      <c r="DB40" s="120"/>
      <c r="DC40" s="120"/>
      <c r="DD40" s="120"/>
      <c r="DE40" s="120"/>
      <c r="DF40" s="120"/>
      <c r="DG40" s="120"/>
      <c r="DH40" s="120"/>
      <c r="DI40" s="120"/>
      <c r="DJ40" s="120"/>
      <c r="DK40" s="120"/>
      <c r="DL40" s="120"/>
      <c r="DM40" s="120"/>
      <c r="DN40" s="120"/>
      <c r="DO40" s="120"/>
      <c r="DP40" s="120"/>
      <c r="DQ40" s="120"/>
      <c r="DR40" s="120"/>
      <c r="DS40" s="120"/>
      <c r="DT40" s="120"/>
      <c r="DU40" s="120"/>
      <c r="DV40" s="120"/>
      <c r="DW40" s="120"/>
      <c r="DX40" s="120"/>
      <c r="DY40" s="120"/>
      <c r="DZ40" s="120"/>
      <c r="EA40" s="120"/>
      <c r="EB40" s="120"/>
      <c r="EC40" s="120"/>
      <c r="ED40" s="120"/>
      <c r="EE40" s="120"/>
      <c r="EF40" s="120"/>
      <c r="EG40" s="120"/>
      <c r="EH40" s="120"/>
      <c r="EI40" s="120"/>
      <c r="EJ40" s="120"/>
      <c r="EK40" s="120"/>
      <c r="EL40" s="120"/>
      <c r="EM40" s="120"/>
      <c r="EN40" s="120"/>
      <c r="EO40" s="120"/>
      <c r="EP40" s="120"/>
      <c r="EQ40" s="120"/>
      <c r="ER40" s="120"/>
      <c r="ES40" s="120"/>
      <c r="ET40" s="120"/>
      <c r="EU40" s="120"/>
      <c r="EV40" s="120"/>
      <c r="EW40" s="120"/>
      <c r="EX40" s="120"/>
      <c r="EY40" s="120"/>
      <c r="EZ40" s="120"/>
      <c r="FA40" s="120"/>
      <c r="FB40" s="120"/>
      <c r="FC40" s="120"/>
      <c r="FD40" s="120"/>
      <c r="FE40" s="120"/>
      <c r="FF40" s="120"/>
      <c r="FG40" s="120"/>
      <c r="FH40" s="120"/>
      <c r="FI40" s="120"/>
      <c r="FJ40" s="120"/>
      <c r="FK40" s="120"/>
      <c r="FL40" s="120"/>
      <c r="FM40" s="120"/>
      <c r="FN40" s="120"/>
      <c r="FO40" s="120"/>
      <c r="FP40" s="120"/>
      <c r="FQ40" s="120"/>
      <c r="FR40" s="120"/>
      <c r="FS40" s="120"/>
      <c r="FT40" s="120"/>
      <c r="FU40" s="120"/>
      <c r="FV40" s="120"/>
      <c r="FW40" s="120"/>
      <c r="FX40" s="120"/>
      <c r="FY40" s="120"/>
      <c r="FZ40" s="120"/>
      <c r="GA40" s="120"/>
      <c r="GB40" s="120"/>
      <c r="GC40" s="120"/>
      <c r="GD40" s="120"/>
      <c r="GE40" s="120"/>
      <c r="GF40" s="120"/>
      <c r="GG40" s="120"/>
      <c r="GH40" s="120"/>
      <c r="GI40" s="120"/>
      <c r="GJ40" s="120"/>
      <c r="GK40" s="120"/>
      <c r="GL40" s="120"/>
      <c r="GM40" s="120"/>
      <c r="GN40" s="120"/>
      <c r="GO40" s="120"/>
      <c r="GP40" s="120"/>
      <c r="GQ40" s="120"/>
      <c r="GR40" s="120"/>
      <c r="GS40" s="120"/>
      <c r="GT40" s="120"/>
      <c r="GU40" s="120"/>
      <c r="GV40" s="120"/>
      <c r="GW40" s="120"/>
      <c r="GX40" s="120"/>
      <c r="GY40" s="120"/>
      <c r="GZ40" s="120"/>
      <c r="HA40" s="120"/>
      <c r="HB40" s="120"/>
      <c r="HC40" s="120"/>
      <c r="HD40" s="120"/>
      <c r="HE40" s="120"/>
      <c r="HF40" s="120"/>
      <c r="HG40" s="120"/>
      <c r="HH40" s="120"/>
      <c r="HI40" s="120"/>
      <c r="HJ40" s="120"/>
      <c r="HK40" s="120"/>
      <c r="HL40" s="120"/>
      <c r="HM40" s="120"/>
      <c r="HN40" s="120"/>
      <c r="HO40" s="120"/>
      <c r="HP40" s="120"/>
      <c r="HQ40" s="120"/>
      <c r="HR40" s="120"/>
      <c r="HS40" s="120"/>
      <c r="HT40" s="120"/>
      <c r="HU40" s="120"/>
      <c r="HV40" s="120"/>
      <c r="HW40" s="120"/>
      <c r="HX40" s="120"/>
      <c r="HY40" s="120"/>
      <c r="HZ40" s="120"/>
      <c r="IA40" s="120"/>
      <c r="IB40" s="120"/>
      <c r="IC40" s="120"/>
      <c r="ID40" s="120"/>
      <c r="IE40" s="120"/>
      <c r="IF40" s="120"/>
      <c r="IG40" s="120"/>
      <c r="IH40" s="120"/>
      <c r="II40" s="120"/>
      <c r="IJ40" s="120"/>
      <c r="IK40" s="120"/>
      <c r="IL40" s="120"/>
      <c r="IM40" s="120"/>
      <c r="IN40" s="120"/>
      <c r="IO40" s="120"/>
      <c r="IP40" s="120"/>
      <c r="IQ40" s="120"/>
      <c r="IR40" s="120"/>
      <c r="IS40" s="120"/>
      <c r="IT40" s="120"/>
      <c r="IU40" s="120"/>
      <c r="IV40" s="120"/>
      <c r="IW40" s="120"/>
      <c r="IX40" s="120"/>
      <c r="IY40" s="120"/>
      <c r="IZ40" s="120"/>
      <c r="JA40" s="120"/>
      <c r="JB40" s="120"/>
      <c r="JC40" s="120"/>
      <c r="JD40" s="120"/>
      <c r="JE40" s="120"/>
      <c r="JF40" s="120"/>
      <c r="JG40" s="120"/>
      <c r="JH40" s="120"/>
      <c r="JI40" s="120"/>
      <c r="JJ40" s="120"/>
      <c r="JK40" s="120"/>
      <c r="JL40" s="120"/>
      <c r="JM40" s="120"/>
      <c r="JN40" s="120"/>
    </row>
    <row r="41" spans="2:292" ht="20.100000000000001" customHeight="1">
      <c r="B41" s="194"/>
      <c r="C41" s="194"/>
      <c r="D41" s="194"/>
      <c r="E41" s="194"/>
      <c r="F41" s="194"/>
      <c r="G41" s="194"/>
      <c r="H41" s="194"/>
      <c r="I41" s="194"/>
      <c r="J41" s="194"/>
      <c r="K41" s="121"/>
      <c r="L41" s="121"/>
      <c r="M41" s="121"/>
      <c r="N41" s="121"/>
      <c r="O41" s="121"/>
      <c r="P41" s="121"/>
      <c r="Q41" s="121"/>
      <c r="R41" s="121"/>
      <c r="S41" s="121"/>
      <c r="T41" s="121"/>
      <c r="U41" s="158"/>
      <c r="V41" s="121"/>
      <c r="W41" s="158"/>
      <c r="X41" s="158"/>
      <c r="Y41" s="158"/>
      <c r="Z41" s="121"/>
      <c r="AA41" s="121"/>
      <c r="AB41" s="121"/>
      <c r="AC41" s="121"/>
      <c r="AD41" s="121"/>
      <c r="AE41" s="121"/>
      <c r="AF41" s="121"/>
      <c r="AG41" s="121"/>
      <c r="BR41" s="120"/>
      <c r="BS41" s="120"/>
      <c r="BT41" s="120"/>
      <c r="BU41" s="120"/>
      <c r="BV41" s="120"/>
      <c r="BW41" s="120"/>
      <c r="BX41" s="120"/>
      <c r="BY41" s="120"/>
      <c r="BZ41" s="120"/>
      <c r="CA41" s="120"/>
      <c r="CB41" s="120"/>
      <c r="CC41" s="120"/>
      <c r="CD41" s="120"/>
      <c r="CE41" s="120"/>
      <c r="CF41" s="120"/>
      <c r="CG41" s="120"/>
      <c r="CH41" s="120"/>
      <c r="CI41" s="120"/>
      <c r="CJ41" s="120"/>
      <c r="CK41" s="120"/>
      <c r="CL41" s="120"/>
      <c r="CM41" s="120"/>
      <c r="CN41" s="120"/>
      <c r="CO41" s="120"/>
      <c r="CP41" s="120"/>
      <c r="CQ41" s="120"/>
      <c r="CR41" s="120"/>
      <c r="CS41" s="120"/>
      <c r="CT41" s="120"/>
      <c r="CU41" s="120"/>
      <c r="CV41" s="120"/>
      <c r="CW41" s="120"/>
      <c r="CX41" s="120"/>
      <c r="CY41" s="120"/>
      <c r="CZ41" s="120"/>
      <c r="DA41" s="120"/>
      <c r="DB41" s="120"/>
      <c r="DC41" s="120"/>
      <c r="DD41" s="120"/>
      <c r="DE41" s="120"/>
      <c r="DF41" s="120"/>
      <c r="DG41" s="120"/>
      <c r="DH41" s="120"/>
      <c r="DI41" s="120"/>
      <c r="DJ41" s="120"/>
      <c r="DK41" s="120"/>
      <c r="DL41" s="120"/>
      <c r="DM41" s="120"/>
      <c r="DN41" s="120"/>
      <c r="DO41" s="120"/>
      <c r="DP41" s="120"/>
      <c r="DQ41" s="120"/>
      <c r="DR41" s="120"/>
      <c r="DS41" s="120"/>
      <c r="DT41" s="120"/>
      <c r="DU41" s="120"/>
      <c r="DV41" s="120"/>
      <c r="DW41" s="120"/>
      <c r="DX41" s="120"/>
      <c r="DY41" s="120"/>
      <c r="DZ41" s="120"/>
      <c r="EA41" s="120"/>
      <c r="EB41" s="120"/>
      <c r="EC41" s="120"/>
      <c r="ED41" s="120"/>
      <c r="EE41" s="120"/>
      <c r="EF41" s="120"/>
      <c r="EG41" s="120"/>
      <c r="EH41" s="120"/>
      <c r="EI41" s="120"/>
      <c r="EJ41" s="120"/>
      <c r="EK41" s="120"/>
      <c r="EL41" s="120"/>
      <c r="EM41" s="120"/>
      <c r="EN41" s="120"/>
      <c r="EO41" s="120"/>
      <c r="EP41" s="120"/>
      <c r="EQ41" s="120"/>
      <c r="ER41" s="120"/>
      <c r="ES41" s="120"/>
      <c r="ET41" s="120"/>
      <c r="EU41" s="120"/>
      <c r="EV41" s="120"/>
      <c r="EW41" s="120"/>
      <c r="EX41" s="120"/>
      <c r="EY41" s="120"/>
      <c r="EZ41" s="120"/>
      <c r="FA41" s="120"/>
      <c r="FB41" s="120"/>
      <c r="FC41" s="120"/>
      <c r="FD41" s="120"/>
      <c r="FE41" s="120"/>
      <c r="FF41" s="120"/>
      <c r="FG41" s="120"/>
      <c r="FH41" s="120"/>
      <c r="FI41" s="120"/>
      <c r="FJ41" s="120"/>
      <c r="FK41" s="120"/>
      <c r="FL41" s="120"/>
      <c r="FM41" s="120"/>
      <c r="FN41" s="120"/>
      <c r="FO41" s="120"/>
      <c r="FP41" s="120"/>
      <c r="FQ41" s="120"/>
      <c r="FR41" s="120"/>
      <c r="FS41" s="120"/>
      <c r="FT41" s="120"/>
      <c r="FU41" s="120"/>
      <c r="FV41" s="120"/>
      <c r="FW41" s="120"/>
      <c r="FX41" s="120"/>
      <c r="FY41" s="120"/>
      <c r="FZ41" s="120"/>
      <c r="GA41" s="120"/>
      <c r="GB41" s="120"/>
      <c r="GC41" s="120"/>
      <c r="GD41" s="120"/>
      <c r="GE41" s="120"/>
      <c r="GF41" s="120"/>
      <c r="GG41" s="120"/>
      <c r="GH41" s="120"/>
      <c r="GI41" s="120"/>
      <c r="GJ41" s="120"/>
      <c r="GK41" s="120"/>
      <c r="GL41" s="120"/>
      <c r="GM41" s="120"/>
      <c r="GN41" s="120"/>
      <c r="GO41" s="120"/>
      <c r="GP41" s="120"/>
      <c r="GQ41" s="120"/>
      <c r="GR41" s="120"/>
      <c r="GS41" s="120"/>
      <c r="GT41" s="120"/>
      <c r="GU41" s="120"/>
      <c r="GV41" s="120"/>
      <c r="GW41" s="120"/>
      <c r="GX41" s="120"/>
      <c r="GY41" s="120"/>
      <c r="GZ41" s="120"/>
      <c r="HA41" s="120"/>
      <c r="HB41" s="120"/>
      <c r="HC41" s="120"/>
      <c r="HD41" s="120"/>
      <c r="HE41" s="120"/>
      <c r="HF41" s="120"/>
      <c r="HG41" s="120"/>
      <c r="HH41" s="120"/>
      <c r="HI41" s="120"/>
      <c r="HJ41" s="120"/>
      <c r="HK41" s="120"/>
      <c r="HL41" s="120"/>
      <c r="HM41" s="120"/>
      <c r="HN41" s="120"/>
      <c r="HO41" s="120"/>
      <c r="HP41" s="120"/>
      <c r="HQ41" s="120"/>
      <c r="HR41" s="120"/>
      <c r="HS41" s="120"/>
      <c r="HT41" s="120"/>
      <c r="HU41" s="120"/>
      <c r="HV41" s="120"/>
      <c r="HW41" s="120"/>
      <c r="HX41" s="120"/>
      <c r="HY41" s="120"/>
      <c r="HZ41" s="120"/>
      <c r="IA41" s="120"/>
      <c r="IB41" s="120"/>
      <c r="IC41" s="120"/>
      <c r="ID41" s="120"/>
      <c r="IE41" s="120"/>
      <c r="IF41" s="120"/>
      <c r="IG41" s="120"/>
      <c r="IH41" s="120"/>
      <c r="II41" s="120"/>
      <c r="IJ41" s="120"/>
      <c r="IK41" s="120"/>
      <c r="IL41" s="120"/>
      <c r="IM41" s="120"/>
      <c r="IN41" s="120"/>
      <c r="IO41" s="120"/>
      <c r="IP41" s="120"/>
      <c r="IQ41" s="120"/>
      <c r="IR41" s="120"/>
      <c r="IS41" s="120"/>
      <c r="IT41" s="120"/>
      <c r="IU41" s="120"/>
      <c r="IV41" s="120"/>
      <c r="IW41" s="120"/>
      <c r="IX41" s="120"/>
      <c r="IY41" s="120"/>
      <c r="IZ41" s="120"/>
      <c r="JA41" s="120"/>
      <c r="JB41" s="120"/>
      <c r="JC41" s="120"/>
      <c r="JD41" s="120"/>
      <c r="JE41" s="120"/>
      <c r="JF41" s="120"/>
      <c r="JG41" s="120"/>
      <c r="JH41" s="120"/>
      <c r="JI41" s="120"/>
      <c r="JJ41" s="120"/>
      <c r="JK41" s="120"/>
      <c r="JL41" s="120"/>
      <c r="JM41" s="120"/>
      <c r="JN41" s="120"/>
    </row>
    <row r="42" spans="2:292" ht="29.45" hidden="1" customHeight="1" thickBot="1">
      <c r="B42" s="121"/>
      <c r="C42" s="301" t="s">
        <v>214</v>
      </c>
      <c r="D42" s="302"/>
      <c r="E42" s="303"/>
      <c r="F42" s="121"/>
      <c r="G42" s="267" t="s">
        <v>215</v>
      </c>
      <c r="H42" s="268"/>
      <c r="I42" s="269"/>
      <c r="J42" s="121"/>
      <c r="K42" s="121"/>
      <c r="L42" s="121"/>
      <c r="M42" s="121"/>
      <c r="N42" s="121"/>
      <c r="O42" s="121"/>
      <c r="P42" s="121"/>
      <c r="Q42" s="121"/>
      <c r="R42" s="121"/>
      <c r="S42" s="121"/>
      <c r="T42" s="121"/>
      <c r="U42" s="121"/>
      <c r="V42" s="121"/>
      <c r="W42" s="121"/>
      <c r="X42" s="121"/>
      <c r="Y42" s="121"/>
      <c r="Z42" s="121"/>
      <c r="AA42" s="121"/>
      <c r="AB42" s="121"/>
      <c r="AC42" s="121"/>
      <c r="AD42" s="121"/>
      <c r="AE42" s="121"/>
      <c r="AF42" s="121"/>
      <c r="AG42" s="121"/>
      <c r="JO42" s="121"/>
      <c r="JP42" s="121"/>
      <c r="JQ42" s="121"/>
      <c r="JR42" s="121"/>
      <c r="JS42" s="121"/>
      <c r="JT42" s="121"/>
      <c r="JU42" s="121"/>
      <c r="JV42" s="121"/>
      <c r="JW42" s="121"/>
      <c r="JX42" s="121"/>
      <c r="JY42" s="121"/>
      <c r="JZ42" s="121"/>
      <c r="KA42" s="121"/>
      <c r="KB42" s="121"/>
      <c r="KC42" s="121"/>
      <c r="KD42" s="121"/>
      <c r="KE42" s="121"/>
      <c r="KF42" s="121"/>
    </row>
    <row r="43" spans="2:292" ht="65.45" hidden="1" customHeight="1" thickBot="1">
      <c r="B43" s="121"/>
      <c r="C43" s="304" t="s">
        <v>219</v>
      </c>
      <c r="D43" s="305"/>
      <c r="E43" s="306"/>
      <c r="F43" s="121"/>
      <c r="G43" s="310" t="s">
        <v>220</v>
      </c>
      <c r="H43" s="311"/>
      <c r="I43" s="312"/>
      <c r="J43" s="121"/>
      <c r="K43" s="121"/>
      <c r="L43" s="121"/>
      <c r="M43" s="121"/>
      <c r="N43" s="121"/>
      <c r="O43" s="121"/>
      <c r="P43" s="121"/>
      <c r="Q43" s="121"/>
      <c r="R43" s="121"/>
      <c r="S43" s="121"/>
      <c r="T43" s="121"/>
      <c r="U43" s="121"/>
      <c r="V43" s="121"/>
      <c r="W43" s="121"/>
      <c r="X43" s="121"/>
      <c r="Y43" s="121"/>
      <c r="Z43" s="121"/>
      <c r="AA43" s="121"/>
      <c r="AB43" s="121"/>
      <c r="AC43" s="121"/>
      <c r="AD43" s="121"/>
      <c r="AE43" s="121"/>
      <c r="AF43" s="121"/>
      <c r="AG43" s="121"/>
      <c r="JO43" s="121"/>
      <c r="JP43" s="121"/>
      <c r="JQ43" s="121"/>
      <c r="JR43" s="121"/>
      <c r="JS43" s="121"/>
      <c r="JT43" s="121"/>
      <c r="JU43" s="121"/>
      <c r="JV43" s="121"/>
      <c r="JW43" s="121"/>
      <c r="JX43" s="121"/>
      <c r="JY43" s="121"/>
      <c r="JZ43" s="121"/>
      <c r="KA43" s="121"/>
      <c r="KB43" s="121"/>
      <c r="KC43" s="121"/>
      <c r="KD43" s="121"/>
      <c r="KE43" s="121"/>
      <c r="KF43" s="121"/>
    </row>
    <row r="44" spans="2:292" ht="22.35" hidden="1" customHeight="1">
      <c r="B44" s="121"/>
      <c r="C44" s="307" t="s">
        <v>208</v>
      </c>
      <c r="D44" s="308"/>
      <c r="E44" s="309"/>
      <c r="F44" s="121"/>
      <c r="G44" s="313" t="s">
        <v>208</v>
      </c>
      <c r="H44" s="314"/>
      <c r="I44" s="315"/>
      <c r="J44" s="121"/>
      <c r="K44" s="121"/>
      <c r="L44" s="121"/>
      <c r="M44" s="121"/>
      <c r="N44" s="121"/>
      <c r="O44" s="121"/>
      <c r="P44" s="121"/>
      <c r="Q44" s="121"/>
      <c r="R44" s="121"/>
      <c r="S44" s="121"/>
      <c r="T44" s="121"/>
      <c r="U44" s="121"/>
      <c r="V44" s="121"/>
      <c r="W44" s="121"/>
      <c r="X44" s="121"/>
      <c r="Y44" s="121"/>
      <c r="Z44" s="121"/>
      <c r="AA44" s="121"/>
      <c r="AB44" s="121"/>
      <c r="AC44" s="121"/>
      <c r="AD44" s="121"/>
      <c r="AE44" s="121"/>
      <c r="AF44" s="121"/>
      <c r="AG44" s="121"/>
      <c r="JO44" s="121"/>
      <c r="JP44" s="121"/>
      <c r="JQ44" s="121"/>
      <c r="JR44" s="121"/>
      <c r="JS44" s="121"/>
      <c r="JT44" s="121"/>
      <c r="JU44" s="121"/>
      <c r="JV44" s="121"/>
      <c r="JW44" s="121"/>
      <c r="JX44" s="121"/>
      <c r="JY44" s="121"/>
      <c r="JZ44" s="121"/>
      <c r="KA44" s="121"/>
      <c r="KB44" s="121"/>
      <c r="KC44" s="121"/>
      <c r="KD44" s="121"/>
      <c r="KE44" s="121"/>
      <c r="KF44" s="121"/>
    </row>
    <row r="45" spans="2:292" ht="21" hidden="1">
      <c r="B45" s="121"/>
      <c r="C45" s="155" t="s">
        <v>211</v>
      </c>
      <c r="D45" s="156"/>
      <c r="E45" s="115">
        <f>IFERROR(F55,"")</f>
        <v>8.4249773350795157E-2</v>
      </c>
      <c r="F45" s="121"/>
      <c r="G45" s="155" t="str">
        <f>IF($E$10&gt;0,"IOFFC","IOFC")</f>
        <v>IOFFC</v>
      </c>
      <c r="H45" s="156"/>
      <c r="I45" s="110">
        <f>IFERROR(IF($G$45="IOFFC",$F$63,$F$62),"")</f>
        <v>6.2135657878189932</v>
      </c>
      <c r="J45" s="121"/>
      <c r="K45" s="121"/>
      <c r="L45" s="121"/>
      <c r="M45" s="121"/>
      <c r="N45" s="121"/>
      <c r="O45" s="121"/>
      <c r="P45" s="121"/>
      <c r="Q45" s="121"/>
      <c r="R45" s="121"/>
      <c r="S45" s="121"/>
      <c r="T45" s="121"/>
      <c r="U45" s="121"/>
      <c r="V45" s="121"/>
      <c r="W45" s="121"/>
      <c r="X45" s="121"/>
      <c r="Y45" s="121"/>
      <c r="Z45" s="121"/>
      <c r="AA45" s="121"/>
      <c r="AB45" s="121"/>
      <c r="AC45" s="121"/>
      <c r="AD45" s="121"/>
      <c r="AE45" s="121"/>
      <c r="AF45" s="121"/>
      <c r="AG45" s="121"/>
      <c r="JO45" s="121"/>
      <c r="JP45" s="121"/>
      <c r="JQ45" s="121"/>
      <c r="JR45" s="121"/>
      <c r="JS45" s="121"/>
      <c r="JT45" s="121"/>
      <c r="JU45" s="121"/>
      <c r="JV45" s="121"/>
      <c r="JW45" s="121"/>
      <c r="JX45" s="121"/>
      <c r="JY45" s="121"/>
      <c r="JZ45" s="121"/>
      <c r="KA45" s="121"/>
      <c r="KB45" s="121"/>
      <c r="KC45" s="121"/>
      <c r="KD45" s="121"/>
      <c r="KE45" s="121"/>
      <c r="KF45" s="121"/>
    </row>
    <row r="46" spans="2:292" ht="22.35" hidden="1" customHeight="1">
      <c r="B46" s="121"/>
      <c r="C46" s="155" t="s">
        <v>212</v>
      </c>
      <c r="D46" s="156"/>
      <c r="E46" s="115">
        <f>IFERROR(F56,"")</f>
        <v>5.1849596777379894E-2</v>
      </c>
      <c r="F46" s="121"/>
      <c r="G46" s="262" t="s">
        <v>209</v>
      </c>
      <c r="H46" s="263"/>
      <c r="I46" s="264"/>
      <c r="J46" s="121"/>
      <c r="K46" s="121"/>
      <c r="L46" s="121"/>
      <c r="M46" s="121"/>
      <c r="N46" s="121"/>
      <c r="O46" s="121"/>
      <c r="P46" s="121"/>
      <c r="Q46" s="121"/>
      <c r="R46" s="121"/>
      <c r="S46" s="121"/>
      <c r="T46" s="121"/>
      <c r="U46" s="121"/>
      <c r="V46" s="121"/>
      <c r="W46" s="121"/>
      <c r="X46" s="121"/>
      <c r="Y46" s="121"/>
      <c r="Z46" s="121"/>
      <c r="AA46" s="121"/>
      <c r="AB46" s="121"/>
      <c r="AC46" s="121"/>
      <c r="AD46" s="121"/>
      <c r="AE46" s="121"/>
      <c r="AF46" s="121"/>
      <c r="AG46" s="121"/>
      <c r="JO46" s="121"/>
      <c r="JP46" s="121"/>
      <c r="JQ46" s="121"/>
      <c r="JR46" s="121"/>
      <c r="JS46" s="121"/>
      <c r="JT46" s="121"/>
      <c r="JU46" s="121"/>
      <c r="JV46" s="121"/>
      <c r="JW46" s="121"/>
      <c r="JX46" s="121"/>
      <c r="JY46" s="121"/>
      <c r="JZ46" s="121"/>
      <c r="KA46" s="121"/>
      <c r="KB46" s="121"/>
      <c r="KC46" s="121"/>
      <c r="KD46" s="121"/>
      <c r="KE46" s="121"/>
      <c r="KF46" s="121"/>
    </row>
    <row r="47" spans="2:292" ht="23.45" hidden="1" customHeight="1" thickBot="1">
      <c r="B47" s="121"/>
      <c r="C47" s="155" t="s">
        <v>210</v>
      </c>
      <c r="D47" s="156"/>
      <c r="E47" s="115">
        <f>IFERROR(F57,"")</f>
        <v>1.0067586651421202E-2</v>
      </c>
      <c r="F47" s="121"/>
      <c r="G47" s="159" t="s">
        <v>213</v>
      </c>
      <c r="H47" s="160"/>
      <c r="I47" s="111">
        <f>IFERROR(L62,"")</f>
        <v>10.160311395744472</v>
      </c>
      <c r="J47" s="121"/>
      <c r="K47" s="121"/>
      <c r="L47" s="121"/>
      <c r="M47" s="121"/>
      <c r="N47" s="121"/>
      <c r="O47" s="121"/>
      <c r="P47" s="121"/>
      <c r="Q47" s="121"/>
      <c r="R47" s="121"/>
      <c r="S47" s="121"/>
      <c r="T47" s="121"/>
      <c r="U47" s="121"/>
      <c r="V47" s="121"/>
      <c r="W47" s="121"/>
      <c r="X47" s="121"/>
      <c r="Y47" s="121"/>
      <c r="Z47" s="121"/>
      <c r="AA47" s="121"/>
      <c r="AB47" s="121"/>
      <c r="AC47" s="121"/>
      <c r="AD47" s="121"/>
      <c r="AE47" s="121"/>
      <c r="AF47" s="121"/>
      <c r="AG47" s="121"/>
      <c r="JO47" s="121"/>
      <c r="JP47" s="121"/>
      <c r="JQ47" s="121"/>
      <c r="JR47" s="121"/>
      <c r="JS47" s="121"/>
      <c r="JT47" s="121"/>
      <c r="JU47" s="121"/>
      <c r="JV47" s="121"/>
      <c r="JW47" s="121"/>
      <c r="JX47" s="121"/>
      <c r="JY47" s="121"/>
      <c r="JZ47" s="121"/>
      <c r="KA47" s="121"/>
      <c r="KB47" s="121"/>
      <c r="KC47" s="121"/>
      <c r="KD47" s="121"/>
      <c r="KE47" s="121"/>
      <c r="KF47" s="121"/>
    </row>
    <row r="48" spans="2:292" ht="21" hidden="1">
      <c r="B48" s="121"/>
      <c r="C48" s="163" t="s">
        <v>209</v>
      </c>
      <c r="D48" s="164"/>
      <c r="E48" s="165"/>
      <c r="F48" s="121"/>
      <c r="G48" s="121"/>
      <c r="H48" s="121"/>
      <c r="I48" s="121"/>
      <c r="J48" s="121"/>
      <c r="K48" s="121"/>
      <c r="L48" s="121"/>
      <c r="M48" s="121"/>
      <c r="N48" s="121"/>
      <c r="O48" s="121"/>
      <c r="P48" s="121"/>
      <c r="Q48" s="121"/>
      <c r="R48" s="121"/>
      <c r="S48" s="121"/>
      <c r="T48" s="121"/>
      <c r="U48" s="128"/>
      <c r="V48" s="121"/>
      <c r="W48" s="121"/>
      <c r="Y48" s="121"/>
      <c r="Z48" s="121"/>
      <c r="AA48" s="121"/>
      <c r="AB48" s="121"/>
      <c r="AC48" s="121"/>
      <c r="AD48" s="121"/>
      <c r="AE48" s="121"/>
      <c r="AF48" s="121"/>
      <c r="AG48" s="121"/>
      <c r="JO48" s="121"/>
      <c r="JP48" s="121"/>
      <c r="JQ48" s="121"/>
      <c r="JR48" s="121"/>
      <c r="JS48" s="121"/>
      <c r="JT48" s="121"/>
      <c r="JU48" s="121"/>
      <c r="JV48" s="121"/>
      <c r="JW48" s="121"/>
      <c r="JX48" s="121"/>
      <c r="JY48" s="121"/>
      <c r="JZ48" s="121"/>
      <c r="KA48" s="121"/>
      <c r="KB48" s="121"/>
      <c r="KC48" s="121"/>
      <c r="KD48" s="121"/>
      <c r="KE48" s="121"/>
      <c r="KF48" s="121"/>
    </row>
    <row r="49" spans="2:292" ht="21" hidden="1">
      <c r="B49" s="121"/>
      <c r="C49" s="155" t="s">
        <v>211</v>
      </c>
      <c r="D49" s="156"/>
      <c r="E49" s="115">
        <f>IFERROR(L55,"")</f>
        <v>8.4251056949392125E-2</v>
      </c>
      <c r="F49" s="121"/>
      <c r="G49" s="121"/>
      <c r="H49" s="121"/>
      <c r="I49" s="121"/>
      <c r="J49" s="121"/>
      <c r="K49" s="121"/>
      <c r="L49" s="121"/>
      <c r="M49" s="121"/>
      <c r="N49" s="121"/>
      <c r="O49" s="121"/>
      <c r="P49" s="121"/>
      <c r="Q49" s="121"/>
      <c r="R49" s="121"/>
      <c r="S49" s="121"/>
      <c r="T49" s="121"/>
      <c r="U49" s="128"/>
      <c r="V49" s="121"/>
      <c r="W49" s="121"/>
      <c r="X49" s="121" t="s">
        <v>75</v>
      </c>
      <c r="Y49" s="120" t="s">
        <v>170</v>
      </c>
      <c r="Z49" s="121"/>
      <c r="AA49" s="121"/>
      <c r="AB49" s="121"/>
      <c r="AC49" s="121"/>
      <c r="AD49" s="121"/>
      <c r="AE49" s="121"/>
      <c r="AF49" s="121"/>
      <c r="AG49" s="121"/>
      <c r="JO49" s="121"/>
      <c r="JP49" s="121"/>
      <c r="JQ49" s="121"/>
      <c r="JR49" s="121"/>
      <c r="JS49" s="121"/>
      <c r="JT49" s="121"/>
      <c r="JU49" s="121"/>
      <c r="JV49" s="121"/>
      <c r="JW49" s="121"/>
      <c r="JX49" s="121"/>
      <c r="JY49" s="121"/>
      <c r="JZ49" s="121"/>
      <c r="KA49" s="121"/>
      <c r="KB49" s="121"/>
      <c r="KC49" s="121"/>
      <c r="KD49" s="121"/>
      <c r="KE49" s="121"/>
      <c r="KF49" s="121"/>
    </row>
    <row r="50" spans="2:292" ht="20.45" hidden="1" customHeight="1">
      <c r="B50" s="121"/>
      <c r="C50" s="155" t="s">
        <v>212</v>
      </c>
      <c r="D50" s="156"/>
      <c r="E50" s="115">
        <f>IFERROR(L56,"")</f>
        <v>5.184379426098179E-2</v>
      </c>
      <c r="F50" s="121"/>
      <c r="G50" s="121"/>
      <c r="H50" s="121"/>
      <c r="I50" s="121"/>
      <c r="J50" s="121"/>
      <c r="K50" s="121"/>
      <c r="L50" s="121"/>
      <c r="M50" s="121"/>
      <c r="N50" s="121"/>
      <c r="O50" s="121"/>
      <c r="P50" s="121"/>
      <c r="Q50" s="121"/>
      <c r="R50" s="121"/>
      <c r="S50" s="121"/>
      <c r="T50" s="121"/>
      <c r="U50" s="128"/>
      <c r="V50" s="121"/>
      <c r="W50" s="121"/>
      <c r="X50" s="121"/>
      <c r="Y50" s="281" t="s">
        <v>2</v>
      </c>
      <c r="Z50" s="282"/>
      <c r="AA50" s="127"/>
      <c r="AB50" s="121"/>
      <c r="AC50" s="121"/>
      <c r="AD50" s="121"/>
      <c r="AE50" s="121"/>
      <c r="AF50" s="121"/>
      <c r="AG50" s="121"/>
      <c r="JO50" s="121"/>
      <c r="JP50" s="121"/>
      <c r="JQ50" s="121"/>
      <c r="JR50" s="121"/>
      <c r="JS50" s="121"/>
      <c r="JT50" s="121"/>
      <c r="JU50" s="121"/>
      <c r="JV50" s="121"/>
      <c r="JW50" s="121"/>
      <c r="JX50" s="121"/>
      <c r="JY50" s="121"/>
      <c r="JZ50" s="121"/>
      <c r="KA50" s="121"/>
      <c r="KB50" s="121"/>
      <c r="KC50" s="121"/>
      <c r="KD50" s="121"/>
      <c r="KE50" s="121"/>
      <c r="KF50" s="121"/>
    </row>
    <row r="51" spans="2:292" ht="21.75" hidden="1" thickBot="1">
      <c r="B51" s="121"/>
      <c r="C51" s="159" t="s">
        <v>210</v>
      </c>
      <c r="D51" s="166"/>
      <c r="E51" s="116">
        <f>IFERROR(L57,"")</f>
        <v>1.0060310904990722E-2</v>
      </c>
      <c r="F51" s="121"/>
      <c r="G51" s="121"/>
      <c r="H51" s="121"/>
      <c r="I51" s="121"/>
      <c r="J51" s="121"/>
      <c r="K51" s="121"/>
      <c r="L51" s="121"/>
      <c r="M51" s="121"/>
      <c r="N51" s="121"/>
      <c r="O51" s="121"/>
      <c r="P51" s="121"/>
      <c r="Q51" s="121"/>
      <c r="R51" s="121"/>
      <c r="S51" s="121"/>
      <c r="T51" s="121"/>
      <c r="U51" s="128"/>
      <c r="V51" s="121"/>
      <c r="W51" s="121"/>
      <c r="X51" s="121"/>
      <c r="Y51" s="133"/>
      <c r="Z51" s="133" t="s">
        <v>171</v>
      </c>
      <c r="AA51" s="127"/>
      <c r="AB51" s="121"/>
      <c r="AC51" s="121"/>
      <c r="AD51" s="121"/>
      <c r="AE51" s="121"/>
      <c r="AF51" s="121"/>
      <c r="AG51" s="121"/>
      <c r="JO51" s="121"/>
      <c r="JP51" s="121"/>
      <c r="JQ51" s="121"/>
      <c r="JR51" s="121"/>
      <c r="JS51" s="121"/>
      <c r="JT51" s="121"/>
      <c r="JU51" s="121"/>
      <c r="JV51" s="121"/>
      <c r="JW51" s="121"/>
      <c r="JX51" s="121"/>
      <c r="JY51" s="121"/>
      <c r="JZ51" s="121"/>
      <c r="KA51" s="121"/>
      <c r="KB51" s="121"/>
      <c r="KC51" s="121"/>
      <c r="KD51" s="121"/>
      <c r="KE51" s="121"/>
      <c r="KF51" s="121"/>
    </row>
    <row r="52" spans="2:292" ht="26.25" hidden="1">
      <c r="B52" s="121"/>
      <c r="C52" s="127"/>
      <c r="D52" s="127"/>
      <c r="E52" s="121"/>
      <c r="F52" s="127"/>
      <c r="G52" s="127"/>
      <c r="H52" s="127"/>
      <c r="I52" s="127"/>
      <c r="J52" s="127"/>
      <c r="K52" s="127"/>
      <c r="L52" s="127"/>
      <c r="M52" s="121"/>
      <c r="N52" s="121"/>
      <c r="O52" s="121"/>
      <c r="P52" s="121"/>
      <c r="Q52" s="121"/>
      <c r="R52" s="121"/>
      <c r="S52" s="121"/>
      <c r="T52" s="135"/>
      <c r="U52" s="136">
        <v>2</v>
      </c>
      <c r="V52" s="121"/>
      <c r="W52" s="121"/>
      <c r="X52" s="121"/>
      <c r="Y52" s="133" t="s">
        <v>5</v>
      </c>
      <c r="Z52" s="133">
        <f>0.0000306269361758696*(V61*V61)- 0.00966436147205444*V61+ 1.47675067863161</f>
        <v>1.1988530941699584</v>
      </c>
      <c r="AA52" s="127"/>
      <c r="AB52" s="121"/>
      <c r="AC52" s="121"/>
      <c r="AD52" s="121"/>
      <c r="AE52" s="121"/>
      <c r="AF52" s="121"/>
      <c r="AG52" s="121"/>
      <c r="JO52" s="121"/>
      <c r="JP52" s="121"/>
      <c r="JQ52" s="121"/>
      <c r="JR52" s="121"/>
      <c r="JS52" s="121"/>
      <c r="JT52" s="121"/>
      <c r="JU52" s="121"/>
      <c r="JV52" s="121"/>
      <c r="JW52" s="121"/>
      <c r="JX52" s="121"/>
      <c r="JY52" s="121"/>
      <c r="JZ52" s="121"/>
      <c r="KA52" s="121"/>
      <c r="KB52" s="121"/>
      <c r="KC52" s="121"/>
      <c r="KD52" s="121"/>
      <c r="KE52" s="121"/>
      <c r="KF52" s="121"/>
    </row>
    <row r="53" spans="2:292" ht="27" hidden="1" thickBot="1">
      <c r="B53" s="169" t="s">
        <v>94</v>
      </c>
      <c r="C53" s="169"/>
      <c r="D53" s="169"/>
      <c r="E53" s="169"/>
      <c r="F53" s="169"/>
      <c r="G53" s="121"/>
      <c r="H53" s="169" t="s">
        <v>93</v>
      </c>
      <c r="I53" s="169"/>
      <c r="J53" s="169"/>
      <c r="K53" s="169"/>
      <c r="L53" s="169"/>
      <c r="M53" s="121"/>
      <c r="N53" s="121"/>
      <c r="O53" s="121"/>
      <c r="P53" s="121"/>
      <c r="Q53" s="121"/>
      <c r="R53" s="121"/>
      <c r="S53" s="121"/>
      <c r="T53" s="135" t="s">
        <v>48</v>
      </c>
      <c r="U53" s="135">
        <v>3</v>
      </c>
      <c r="V53" s="121"/>
      <c r="W53" s="121"/>
      <c r="X53" s="121"/>
      <c r="AA53" s="127"/>
      <c r="AB53" s="121"/>
      <c r="AC53" s="121"/>
      <c r="AD53" s="121"/>
      <c r="AE53" s="121"/>
      <c r="AF53" s="121"/>
      <c r="AG53" s="121"/>
      <c r="JO53" s="121"/>
      <c r="JP53" s="121"/>
      <c r="JQ53" s="121"/>
      <c r="JR53" s="121"/>
      <c r="JS53" s="121"/>
      <c r="JT53" s="121"/>
      <c r="JU53" s="121"/>
      <c r="JV53" s="121"/>
      <c r="JW53" s="121"/>
      <c r="JX53" s="121"/>
      <c r="JY53" s="121"/>
      <c r="JZ53" s="121"/>
      <c r="KA53" s="121"/>
      <c r="KB53" s="121"/>
      <c r="KC53" s="121"/>
      <c r="KD53" s="121"/>
      <c r="KE53" s="121"/>
      <c r="KF53" s="121"/>
    </row>
    <row r="54" spans="2:292" ht="27" hidden="1" thickBot="1">
      <c r="B54" s="170"/>
      <c r="C54" s="170"/>
      <c r="D54" s="82" t="s">
        <v>95</v>
      </c>
      <c r="E54" s="83" t="s">
        <v>96</v>
      </c>
      <c r="F54" s="171"/>
      <c r="G54" s="121"/>
      <c r="H54" s="170"/>
      <c r="I54" s="170"/>
      <c r="J54" s="84" t="s">
        <v>95</v>
      </c>
      <c r="K54" s="85" t="s">
        <v>96</v>
      </c>
      <c r="L54" s="172"/>
      <c r="M54" s="121"/>
      <c r="N54" s="121"/>
      <c r="O54" s="121"/>
      <c r="P54" s="121"/>
      <c r="Q54" s="121"/>
      <c r="R54" s="121"/>
      <c r="S54" s="121"/>
      <c r="T54" s="135" t="s">
        <v>49</v>
      </c>
      <c r="U54" s="135">
        <v>4</v>
      </c>
      <c r="V54" s="121"/>
      <c r="W54" s="121"/>
      <c r="X54" s="121"/>
      <c r="Y54" s="281" t="s">
        <v>7</v>
      </c>
      <c r="Z54" s="282"/>
      <c r="AA54" s="127"/>
      <c r="AB54" s="121"/>
      <c r="AC54" s="121"/>
      <c r="AD54" s="121"/>
      <c r="AE54" s="121"/>
      <c r="AF54" s="121"/>
      <c r="AG54" s="121"/>
      <c r="JO54" s="121"/>
      <c r="JP54" s="121"/>
      <c r="JQ54" s="121"/>
      <c r="JR54" s="121"/>
      <c r="JS54" s="121"/>
      <c r="JT54" s="121"/>
      <c r="JU54" s="121"/>
      <c r="JV54" s="121"/>
      <c r="JW54" s="121"/>
      <c r="JX54" s="121"/>
      <c r="JY54" s="121"/>
      <c r="JZ54" s="121"/>
      <c r="KA54" s="121"/>
      <c r="KB54" s="121"/>
      <c r="KC54" s="121"/>
      <c r="KD54" s="121"/>
      <c r="KE54" s="121"/>
      <c r="KF54" s="121"/>
    </row>
    <row r="55" spans="2:292" ht="26.25" hidden="1">
      <c r="B55" s="171" t="s">
        <v>146</v>
      </c>
      <c r="C55" s="170"/>
      <c r="D55" s="173">
        <v>1</v>
      </c>
      <c r="E55" s="174">
        <f>IF($E$6="Live",'Current Performance - ME'!K5/'FW - Projected Performance - ME'!K6,'Current Performance - ME'!K5/'FW - Projected Performance - ME'!K17)</f>
        <v>0.92229671112549338</v>
      </c>
      <c r="F55" s="174">
        <f>(D55-E55)/E55</f>
        <v>8.4249773350795157E-2</v>
      </c>
      <c r="G55" s="121"/>
      <c r="H55" s="171" t="s">
        <v>146</v>
      </c>
      <c r="I55" s="170"/>
      <c r="J55" s="173">
        <v>1</v>
      </c>
      <c r="K55" s="174">
        <f>'Current Performance - ME'!K5/'FT - Projected Performance - ME'!K5</f>
        <v>0.92229561925774117</v>
      </c>
      <c r="L55" s="174">
        <f>(J55-K55)/K55</f>
        <v>8.4251056949392125E-2</v>
      </c>
      <c r="M55" s="121"/>
      <c r="N55" s="121"/>
      <c r="O55" s="121"/>
      <c r="P55" s="121"/>
      <c r="Q55" s="121"/>
      <c r="R55" s="121"/>
      <c r="S55" s="121"/>
      <c r="T55" s="135"/>
      <c r="U55" s="135">
        <v>5</v>
      </c>
      <c r="V55" s="121"/>
      <c r="W55" s="121"/>
      <c r="X55" s="121"/>
      <c r="Y55" s="133"/>
      <c r="Z55" s="133" t="s">
        <v>171</v>
      </c>
      <c r="AA55" s="127"/>
      <c r="AB55" s="121"/>
      <c r="AC55" s="121"/>
      <c r="AD55" s="121"/>
      <c r="AE55" s="121"/>
      <c r="AF55" s="121"/>
      <c r="AG55" s="121"/>
      <c r="JO55" s="121"/>
      <c r="JP55" s="121"/>
      <c r="JQ55" s="121"/>
      <c r="JR55" s="121"/>
      <c r="JS55" s="121"/>
      <c r="JT55" s="121"/>
      <c r="JU55" s="121"/>
      <c r="JV55" s="121"/>
      <c r="JW55" s="121"/>
      <c r="JX55" s="121"/>
      <c r="JY55" s="121"/>
      <c r="JZ55" s="121"/>
      <c r="KA55" s="121"/>
      <c r="KB55" s="121"/>
      <c r="KC55" s="121"/>
      <c r="KD55" s="121"/>
      <c r="KE55" s="121"/>
      <c r="KF55" s="121"/>
    </row>
    <row r="56" spans="2:292" ht="26.25" hidden="1">
      <c r="B56" s="171" t="s">
        <v>147</v>
      </c>
      <c r="C56" s="170"/>
      <c r="D56" s="173">
        <v>1</v>
      </c>
      <c r="E56" s="174">
        <f>IF($E$6="Live",'FW - Projected Performance - ME'!K7/'Current Performance - ME'!K6,'FW - Projected Performance - ME'!K18/'Current Performance - ME'!K6)</f>
        <v>0.95070626357966492</v>
      </c>
      <c r="F56" s="175">
        <f>(D56-E56)/E56</f>
        <v>5.1849596777379894E-2</v>
      </c>
      <c r="G56" s="121"/>
      <c r="H56" s="171" t="s">
        <v>147</v>
      </c>
      <c r="I56" s="170"/>
      <c r="J56" s="173">
        <v>1</v>
      </c>
      <c r="K56" s="174">
        <f>'FT - Projected Performance - ME'!K6/'Current Performance - ME'!K6</f>
        <v>0.95071150816894168</v>
      </c>
      <c r="L56" s="175">
        <f>(J56-K56)/K56</f>
        <v>5.184379426098179E-2</v>
      </c>
      <c r="M56" s="121"/>
      <c r="N56" s="121"/>
      <c r="O56" s="121"/>
      <c r="P56" s="121"/>
      <c r="Q56" s="121"/>
      <c r="R56" s="121"/>
      <c r="S56" s="121"/>
      <c r="T56" s="135"/>
      <c r="U56" s="135">
        <v>6</v>
      </c>
      <c r="V56" s="121"/>
      <c r="W56" s="121"/>
      <c r="X56" s="121"/>
      <c r="Y56" s="133" t="s">
        <v>5</v>
      </c>
      <c r="Z56" s="133">
        <f>0.0000306269361758696*(V62*V62)- 0.00966436147205444*V62+ 1.47675067863161</f>
        <v>1.070099945468562</v>
      </c>
      <c r="AA56" s="127"/>
      <c r="AB56" s="121"/>
      <c r="AC56" s="121"/>
      <c r="AD56" s="121"/>
      <c r="AE56" s="121"/>
      <c r="AF56" s="121"/>
      <c r="AG56" s="121"/>
      <c r="JO56" s="121"/>
      <c r="JP56" s="121"/>
      <c r="JQ56" s="121"/>
      <c r="JR56" s="121"/>
      <c r="JS56" s="121"/>
      <c r="JT56" s="121"/>
      <c r="JU56" s="121"/>
      <c r="JV56" s="121"/>
      <c r="JW56" s="121"/>
      <c r="JX56" s="121"/>
      <c r="JY56" s="121"/>
      <c r="JZ56" s="121"/>
      <c r="KA56" s="121"/>
      <c r="KB56" s="121"/>
      <c r="KC56" s="121"/>
      <c r="KD56" s="121"/>
      <c r="KE56" s="121"/>
      <c r="KF56" s="121"/>
    </row>
    <row r="57" spans="2:292" ht="19.5" hidden="1">
      <c r="B57" s="86" t="s">
        <v>210</v>
      </c>
      <c r="C57" s="86"/>
      <c r="D57" s="176">
        <f>'FW - Projected Performance - ME'!B43</f>
        <v>74.741860597108783</v>
      </c>
      <c r="E57" s="87">
        <f>'Current Performance - ME'!B36</f>
        <v>73.996890490163338</v>
      </c>
      <c r="F57" s="176">
        <f>(D57-E57)/E57</f>
        <v>1.0067586651421202E-2</v>
      </c>
      <c r="G57" s="121"/>
      <c r="H57" s="86" t="s">
        <v>210</v>
      </c>
      <c r="I57" s="86"/>
      <c r="J57" s="87">
        <f>'FT - Projected Performance - ME'!B33</f>
        <v>74.741322214496932</v>
      </c>
      <c r="K57" s="87">
        <f>'Current Performance - ME'!B36</f>
        <v>73.996890490163338</v>
      </c>
      <c r="L57" s="176">
        <f>(J57-K57)/K57</f>
        <v>1.0060310904990722E-2</v>
      </c>
      <c r="M57" s="121"/>
      <c r="N57" s="121"/>
      <c r="O57" s="121"/>
      <c r="P57" s="121"/>
      <c r="Q57" s="121"/>
      <c r="R57" s="121"/>
      <c r="S57" s="121"/>
      <c r="T57" s="121"/>
      <c r="U57" s="121"/>
      <c r="V57" s="121"/>
      <c r="W57" s="121"/>
      <c r="X57" s="121"/>
      <c r="Y57" s="121"/>
      <c r="Z57" s="121"/>
      <c r="AA57" s="127"/>
      <c r="AB57" s="121"/>
      <c r="AC57" s="121"/>
      <c r="AD57" s="121"/>
      <c r="AE57" s="121"/>
      <c r="AF57" s="121"/>
      <c r="AG57" s="121"/>
      <c r="JO57" s="121"/>
      <c r="JP57" s="121"/>
      <c r="JQ57" s="121"/>
      <c r="JR57" s="121"/>
      <c r="JS57" s="121"/>
      <c r="JT57" s="121"/>
      <c r="JU57" s="121"/>
      <c r="JV57" s="121"/>
      <c r="JW57" s="121"/>
      <c r="JX57" s="121"/>
      <c r="JY57" s="121"/>
      <c r="JZ57" s="121"/>
      <c r="KA57" s="121"/>
      <c r="KB57" s="121"/>
      <c r="KC57" s="121"/>
      <c r="KD57" s="121"/>
      <c r="KE57" s="121"/>
      <c r="KF57" s="121"/>
    </row>
    <row r="58" spans="2:292" ht="19.5" hidden="1">
      <c r="B58" s="177" t="s">
        <v>19</v>
      </c>
      <c r="C58" s="178"/>
      <c r="D58" s="179"/>
      <c r="E58" s="171"/>
      <c r="F58" s="171"/>
      <c r="G58" s="121"/>
      <c r="H58" s="177" t="s">
        <v>19</v>
      </c>
      <c r="I58" s="178"/>
      <c r="J58" s="179"/>
      <c r="K58" s="171"/>
      <c r="L58" s="171"/>
      <c r="M58" s="121"/>
      <c r="N58" s="121"/>
      <c r="O58" s="121"/>
      <c r="P58" s="121"/>
      <c r="Q58" s="121"/>
      <c r="R58" s="121"/>
      <c r="S58" s="121"/>
      <c r="T58" s="121"/>
      <c r="U58" s="121"/>
      <c r="V58" s="121"/>
      <c r="W58" s="121"/>
      <c r="X58" s="121"/>
      <c r="Y58" s="281" t="s">
        <v>12</v>
      </c>
      <c r="Z58" s="282"/>
      <c r="AA58" s="127"/>
      <c r="AB58" s="121"/>
      <c r="AC58" s="121"/>
      <c r="AD58" s="121"/>
      <c r="AE58" s="121"/>
      <c r="AF58" s="121"/>
      <c r="AG58" s="121"/>
      <c r="JO58" s="121"/>
      <c r="JP58" s="121"/>
      <c r="JQ58" s="121"/>
      <c r="JR58" s="121"/>
      <c r="JS58" s="121"/>
      <c r="JT58" s="121"/>
      <c r="JU58" s="121"/>
      <c r="JV58" s="121"/>
      <c r="JW58" s="121"/>
      <c r="JX58" s="121"/>
      <c r="JY58" s="121"/>
      <c r="JZ58" s="121"/>
      <c r="KA58" s="121"/>
      <c r="KB58" s="121"/>
      <c r="KC58" s="121"/>
      <c r="KD58" s="121"/>
      <c r="KE58" s="121"/>
      <c r="KF58" s="121"/>
    </row>
    <row r="59" spans="2:292" ht="19.5" hidden="1">
      <c r="B59" s="180" t="s">
        <v>20</v>
      </c>
      <c r="C59" s="178"/>
      <c r="D59" s="181">
        <f>IF($E$6="Live",'FW - Projected Performance - ME'!K11,'FW - Projected Performance - ME'!K22)</f>
        <v>104.54246908162642</v>
      </c>
      <c r="E59" s="182">
        <f>'Current Performance - ME'!K10</f>
        <v>109.27895269984748</v>
      </c>
      <c r="F59" s="171"/>
      <c r="G59" s="121"/>
      <c r="H59" s="180" t="s">
        <v>20</v>
      </c>
      <c r="I59" s="178"/>
      <c r="J59" s="181">
        <f>'FT - Projected Performance - ME'!K10</f>
        <v>112.64093594448043</v>
      </c>
      <c r="K59" s="182">
        <f>'Current Performance - ME'!K10</f>
        <v>109.27895269984748</v>
      </c>
      <c r="L59" s="171"/>
      <c r="M59" s="183"/>
      <c r="N59" s="121"/>
      <c r="O59" s="121"/>
      <c r="P59" s="121"/>
      <c r="Q59" s="121"/>
      <c r="R59" s="121"/>
      <c r="S59" s="121"/>
      <c r="T59" s="121"/>
      <c r="U59" s="121"/>
      <c r="V59" s="121"/>
      <c r="W59" s="121"/>
      <c r="X59" s="121"/>
      <c r="Y59" s="133"/>
      <c r="Z59" s="133" t="s">
        <v>171</v>
      </c>
      <c r="AA59" s="127"/>
      <c r="AB59" s="121"/>
      <c r="AC59" s="121"/>
      <c r="AD59" s="121"/>
      <c r="AE59" s="121"/>
      <c r="AF59" s="121"/>
      <c r="AG59" s="121"/>
      <c r="JO59" s="121"/>
      <c r="JP59" s="121"/>
      <c r="JQ59" s="121"/>
      <c r="JR59" s="121"/>
      <c r="JS59" s="121"/>
      <c r="JT59" s="121"/>
      <c r="JU59" s="121"/>
      <c r="JV59" s="121"/>
      <c r="JW59" s="121"/>
      <c r="JX59" s="121"/>
      <c r="JY59" s="121"/>
      <c r="JZ59" s="121"/>
      <c r="KA59" s="121"/>
      <c r="KB59" s="121"/>
      <c r="KC59" s="121"/>
      <c r="KD59" s="121"/>
      <c r="KE59" s="121"/>
      <c r="KF59" s="121"/>
    </row>
    <row r="60" spans="2:292" ht="19.5" hidden="1">
      <c r="B60" s="171" t="s">
        <v>21</v>
      </c>
      <c r="C60" s="171"/>
      <c r="D60" s="181">
        <f>IF($E$6="Live",'FW - Projected Performance - ME'!K12,'FW - Projected Performance - ME'!K23)</f>
        <v>122.07464882349606</v>
      </c>
      <c r="E60" s="182">
        <f>'Current Performance - ME'!K11</f>
        <v>128.28821461131506</v>
      </c>
      <c r="F60" s="171"/>
      <c r="G60" s="121"/>
      <c r="H60" s="184" t="s">
        <v>21</v>
      </c>
      <c r="I60" s="184"/>
      <c r="J60" s="185">
        <f>'FT - Projected Performance - ME'!K11</f>
        <v>131.65019785594799</v>
      </c>
      <c r="K60" s="185">
        <f>'Current Performance - ME'!K11</f>
        <v>128.28821461131506</v>
      </c>
      <c r="L60" s="184"/>
      <c r="M60" s="183"/>
      <c r="N60" s="183"/>
      <c r="O60" s="183"/>
      <c r="P60" s="121"/>
      <c r="Q60" s="121" t="s">
        <v>161</v>
      </c>
      <c r="R60" s="121"/>
      <c r="S60" s="121" t="s">
        <v>144</v>
      </c>
      <c r="U60" s="143"/>
      <c r="V60" s="144" t="s">
        <v>10</v>
      </c>
      <c r="W60" s="144" t="s">
        <v>174</v>
      </c>
      <c r="X60" s="133" t="s">
        <v>99</v>
      </c>
      <c r="Y60" s="133" t="s">
        <v>5</v>
      </c>
      <c r="Z60" s="133">
        <f>0.0000306269361758696*(V63*V63)- 0.00966436147205444*V63+ 1.47675067863161</f>
        <v>0.94763672437988788</v>
      </c>
      <c r="AA60" s="127"/>
      <c r="AB60" s="121"/>
      <c r="AC60" s="121"/>
      <c r="AD60" s="121"/>
      <c r="AE60" s="121"/>
      <c r="AF60" s="121"/>
      <c r="AG60" s="121"/>
      <c r="JO60" s="121"/>
      <c r="JP60" s="121"/>
      <c r="JQ60" s="121"/>
      <c r="JR60" s="121"/>
      <c r="JS60" s="121"/>
      <c r="JT60" s="121"/>
      <c r="JU60" s="121"/>
      <c r="JV60" s="121"/>
      <c r="JW60" s="121"/>
      <c r="JX60" s="121"/>
      <c r="JY60" s="121"/>
      <c r="JZ60" s="121"/>
      <c r="KA60" s="121"/>
      <c r="KB60" s="121"/>
      <c r="KC60" s="121"/>
      <c r="KD60" s="121"/>
      <c r="KE60" s="121"/>
      <c r="KF60" s="121"/>
    </row>
    <row r="61" spans="2:292" ht="21" hidden="1">
      <c r="B61" s="171" t="s">
        <v>22</v>
      </c>
      <c r="C61" s="171"/>
      <c r="D61" s="181">
        <f>IF($E$6="Live",'FW - Projected Performance - ME'!K13,'FW - Projected Performance - ME'!K24)</f>
        <v>195</v>
      </c>
      <c r="E61" s="182">
        <f>IF($E$6="Live",'Current Performance - ME'!K12,'Current Performance - ME'!K15)</f>
        <v>195</v>
      </c>
      <c r="F61" s="88" t="s">
        <v>23</v>
      </c>
      <c r="G61" s="121"/>
      <c r="H61" s="184" t="s">
        <v>22</v>
      </c>
      <c r="I61" s="184"/>
      <c r="J61" s="185">
        <f>IF($E$6="Live",'FT - Projected Performance - ME'!K12,'FT - Projected Performance - ME'!K16)</f>
        <v>208.52229464037742</v>
      </c>
      <c r="K61" s="185">
        <f>IF($E$6="Live",'Current Performance - ME'!K12,'Current Performance - ME'!K15)</f>
        <v>195</v>
      </c>
      <c r="L61" s="88" t="s">
        <v>23</v>
      </c>
      <c r="M61" s="183"/>
      <c r="N61" s="183"/>
      <c r="O61" s="183"/>
      <c r="P61" s="121"/>
      <c r="Q61" s="149">
        <f t="shared" ref="Q61:Q66" si="3">IFERROR(I15/X61,"")</f>
        <v>1.2660460611249293</v>
      </c>
      <c r="R61" s="121"/>
      <c r="S61" s="149">
        <f t="shared" ref="S61:S66" si="4">IFERROR(F15/X61,"")</f>
        <v>1.8990690916873938</v>
      </c>
      <c r="T61" s="150"/>
      <c r="U61" s="133" t="s">
        <v>11</v>
      </c>
      <c r="V61" s="151">
        <f t="shared" ref="V61:V66" si="5">IFERROR(AVERAGE(C15:D15),"")</f>
        <v>32</v>
      </c>
      <c r="W61" s="151">
        <f t="shared" ref="W61:W66" si="6">IF(D15-C15=0,0,D15-C15)</f>
        <v>18</v>
      </c>
      <c r="X61" s="73">
        <f t="shared" ref="X61:X66" si="7" xml:space="preserve"> -0.0012418982*V61+ 0.3522266252</f>
        <v>0.3124858828</v>
      </c>
      <c r="Y61" s="121"/>
      <c r="Z61" s="121"/>
      <c r="AA61" s="127"/>
      <c r="AB61" s="121"/>
      <c r="AC61" s="121"/>
      <c r="AD61" s="121"/>
      <c r="AE61" s="121"/>
      <c r="AF61" s="121"/>
      <c r="AG61" s="121"/>
      <c r="JO61" s="121"/>
      <c r="JP61" s="121"/>
      <c r="JQ61" s="121"/>
      <c r="JR61" s="121"/>
      <c r="JS61" s="121"/>
      <c r="JT61" s="121"/>
      <c r="JU61" s="121"/>
      <c r="JV61" s="121"/>
      <c r="JW61" s="121"/>
      <c r="JX61" s="121"/>
      <c r="JY61" s="121"/>
      <c r="JZ61" s="121"/>
      <c r="KA61" s="121"/>
      <c r="KB61" s="121"/>
      <c r="KC61" s="121"/>
      <c r="KD61" s="121"/>
      <c r="KE61" s="121"/>
      <c r="KF61" s="121"/>
    </row>
    <row r="62" spans="2:292" ht="21" hidden="1">
      <c r="B62" s="184" t="s">
        <v>24</v>
      </c>
      <c r="C62" s="184"/>
      <c r="D62" s="181">
        <f>IF($E$6="Live",'FW - Projected Performance - ME'!K14,'FW - Projected Performance - ME'!K25)</f>
        <v>90.457530918373578</v>
      </c>
      <c r="E62" s="185">
        <f>IF($E$6="Live",'Current Performance - ME'!K13,'Current Performance - ME'!K16)</f>
        <v>85.72104730015252</v>
      </c>
      <c r="F62" s="89">
        <f>D62-E62</f>
        <v>4.7364836182210581</v>
      </c>
      <c r="G62" s="121"/>
      <c r="H62" s="184" t="s">
        <v>24</v>
      </c>
      <c r="I62" s="184"/>
      <c r="J62" s="185">
        <f>IF($E$6="Live",'FT - Projected Performance - ME'!K13,'FT - Projected Performance - ME'!K17)</f>
        <v>95.881358695896992</v>
      </c>
      <c r="K62" s="185">
        <f>IF($E$6="Live",'Current Performance - ME'!K13,'Current Performance - ME'!K16)</f>
        <v>85.72104730015252</v>
      </c>
      <c r="L62" s="89">
        <f>J62-K62</f>
        <v>10.160311395744472</v>
      </c>
      <c r="M62" s="183"/>
      <c r="N62" s="183"/>
      <c r="O62" s="183"/>
      <c r="P62" s="121"/>
      <c r="Q62" s="149">
        <f t="shared" si="3"/>
        <v>1.2171471214761753</v>
      </c>
      <c r="R62" s="121"/>
      <c r="S62" s="149">
        <f t="shared" si="4"/>
        <v>1.8257206822142631</v>
      </c>
      <c r="T62" s="150"/>
      <c r="U62" s="133" t="s">
        <v>89</v>
      </c>
      <c r="V62" s="151">
        <f t="shared" si="5"/>
        <v>50</v>
      </c>
      <c r="W62" s="151">
        <f t="shared" si="6"/>
        <v>18</v>
      </c>
      <c r="X62" s="73">
        <f t="shared" si="7"/>
        <v>0.29013171519999997</v>
      </c>
      <c r="Y62" s="281" t="s">
        <v>16</v>
      </c>
      <c r="Z62" s="282"/>
      <c r="AA62" s="127"/>
      <c r="AB62" s="121"/>
      <c r="AC62" s="121"/>
      <c r="AD62" s="121"/>
      <c r="AE62" s="121"/>
      <c r="AF62" s="121"/>
      <c r="AG62" s="121"/>
      <c r="JO62" s="121"/>
      <c r="JP62" s="121"/>
      <c r="JQ62" s="121"/>
      <c r="JR62" s="121"/>
      <c r="JS62" s="121"/>
      <c r="JT62" s="121"/>
      <c r="JU62" s="121"/>
      <c r="JV62" s="121"/>
      <c r="JW62" s="121"/>
      <c r="JX62" s="121"/>
      <c r="JY62" s="121"/>
      <c r="JZ62" s="121"/>
      <c r="KA62" s="121"/>
      <c r="KB62" s="121"/>
      <c r="KC62" s="121"/>
      <c r="KD62" s="121"/>
      <c r="KE62" s="121"/>
      <c r="KF62" s="121"/>
    </row>
    <row r="63" spans="2:292" ht="21.75" hidden="1" thickBot="1">
      <c r="B63" s="186" t="s">
        <v>25</v>
      </c>
      <c r="C63" s="186"/>
      <c r="D63" s="187">
        <f>IF($E$6="Live",'FW - Projected Performance - ME'!K15,'FW - Projected Performance - ME'!K26)</f>
        <v>72.925351176503938</v>
      </c>
      <c r="E63" s="188">
        <f>IF($E$6="Live",'Current Performance - ME'!K14,'Current Performance - ME'!K17)</f>
        <v>66.711785388684945</v>
      </c>
      <c r="F63" s="90">
        <f>D63-E63</f>
        <v>6.2135657878189932</v>
      </c>
      <c r="G63" s="121"/>
      <c r="H63" s="186" t="s">
        <v>25</v>
      </c>
      <c r="I63" s="186"/>
      <c r="J63" s="188">
        <f>IF($E$6="Live",'FT - Projected Performance - ME'!K14,'FT - Projected Performance - ME'!K18)</f>
        <v>76.872096784429431</v>
      </c>
      <c r="K63" s="188">
        <f>IF($E$6="Live",'Current Performance - ME'!K14,'Current Performance - ME'!K17)</f>
        <v>66.711785388684945</v>
      </c>
      <c r="L63" s="90">
        <f>J63-K63</f>
        <v>10.160311395744486</v>
      </c>
      <c r="M63" s="183"/>
      <c r="N63" s="183"/>
      <c r="O63" s="183"/>
      <c r="P63" s="121"/>
      <c r="Q63" s="149">
        <f t="shared" si="3"/>
        <v>1.1815347726103322</v>
      </c>
      <c r="R63" s="121"/>
      <c r="S63" s="149">
        <f t="shared" si="4"/>
        <v>1.7723021589154981</v>
      </c>
      <c r="T63" s="150"/>
      <c r="U63" s="133" t="s">
        <v>13</v>
      </c>
      <c r="V63" s="151">
        <f t="shared" si="5"/>
        <v>70.5</v>
      </c>
      <c r="W63" s="151">
        <f t="shared" si="6"/>
        <v>23</v>
      </c>
      <c r="X63" s="73">
        <f t="shared" si="7"/>
        <v>0.26467280209999999</v>
      </c>
      <c r="Y63" s="152"/>
      <c r="Z63" s="133" t="s">
        <v>171</v>
      </c>
      <c r="AA63" s="127"/>
      <c r="AB63" s="121"/>
      <c r="AC63" s="121"/>
      <c r="AD63" s="121"/>
      <c r="AE63" s="121"/>
      <c r="AF63" s="121"/>
      <c r="AG63" s="121"/>
      <c r="JO63" s="121"/>
      <c r="JP63" s="121"/>
      <c r="JQ63" s="121"/>
      <c r="JR63" s="121"/>
      <c r="JS63" s="121"/>
      <c r="JT63" s="121"/>
      <c r="JU63" s="121"/>
      <c r="JV63" s="121"/>
      <c r="JW63" s="121"/>
      <c r="JX63" s="121"/>
      <c r="JY63" s="121"/>
      <c r="JZ63" s="121"/>
      <c r="KA63" s="121"/>
      <c r="KB63" s="121"/>
      <c r="KC63" s="121"/>
      <c r="KD63" s="121"/>
      <c r="KE63" s="121"/>
      <c r="KF63" s="121"/>
    </row>
    <row r="64" spans="2:292" ht="19.5" hidden="1">
      <c r="B64" s="121"/>
      <c r="C64" s="121"/>
      <c r="D64" s="121"/>
      <c r="E64" s="121"/>
      <c r="F64" s="121"/>
      <c r="G64" s="121"/>
      <c r="H64" s="167"/>
      <c r="I64" s="121"/>
      <c r="J64" s="121"/>
      <c r="K64" s="121"/>
      <c r="L64" s="121"/>
      <c r="M64" s="183"/>
      <c r="N64" s="183"/>
      <c r="O64" s="183"/>
      <c r="P64" s="121"/>
      <c r="Q64" s="149">
        <f t="shared" si="3"/>
        <v>1.174937033738829</v>
      </c>
      <c r="R64" s="121"/>
      <c r="S64" s="149">
        <f t="shared" si="4"/>
        <v>1.7624055506082432</v>
      </c>
      <c r="T64" s="150"/>
      <c r="U64" s="133" t="s">
        <v>14</v>
      </c>
      <c r="V64" s="151">
        <f t="shared" si="5"/>
        <v>93</v>
      </c>
      <c r="W64" s="151">
        <f t="shared" si="6"/>
        <v>22</v>
      </c>
      <c r="X64" s="73">
        <f t="shared" si="7"/>
        <v>0.23673009259999997</v>
      </c>
      <c r="Y64" s="152" t="s">
        <v>5</v>
      </c>
      <c r="Z64" s="133">
        <f>0.0000306269361758696*(V64*V64)- 0.00966436147205444*V64+ 1.47675067863161</f>
        <v>0.84285743271564328</v>
      </c>
      <c r="AA64" s="127"/>
      <c r="AB64" s="121"/>
      <c r="AC64" s="121"/>
      <c r="AD64" s="121"/>
      <c r="AE64" s="121"/>
      <c r="AF64" s="121"/>
      <c r="AG64" s="121"/>
      <c r="JO64" s="121"/>
      <c r="JP64" s="121"/>
      <c r="JQ64" s="121"/>
      <c r="JR64" s="121"/>
      <c r="JS64" s="121"/>
      <c r="JT64" s="121"/>
      <c r="JU64" s="121"/>
      <c r="JV64" s="121"/>
      <c r="JW64" s="121"/>
      <c r="JX64" s="121"/>
      <c r="JY64" s="121"/>
      <c r="JZ64" s="121"/>
      <c r="KA64" s="121"/>
      <c r="KB64" s="121"/>
      <c r="KC64" s="121"/>
      <c r="KD64" s="121"/>
      <c r="KE64" s="121"/>
      <c r="KF64" s="121"/>
    </row>
    <row r="65" spans="2:292" hidden="1">
      <c r="B65" s="183"/>
      <c r="C65" s="183"/>
      <c r="D65" s="183"/>
      <c r="E65" s="183"/>
      <c r="F65" s="183"/>
      <c r="G65" s="183"/>
      <c r="H65" s="183"/>
      <c r="I65" s="183"/>
      <c r="J65" s="183"/>
      <c r="K65" s="183"/>
      <c r="L65" s="183"/>
      <c r="M65" s="183"/>
      <c r="N65" s="183"/>
      <c r="O65" s="183"/>
      <c r="P65" s="121"/>
      <c r="Q65" s="149">
        <f t="shared" si="3"/>
        <v>1.2204445896608722</v>
      </c>
      <c r="R65" s="121"/>
      <c r="S65" s="149">
        <f t="shared" si="4"/>
        <v>1.8306668844913085</v>
      </c>
      <c r="T65" s="150"/>
      <c r="U65" s="133" t="s">
        <v>15</v>
      </c>
      <c r="V65" s="151">
        <f t="shared" si="5"/>
        <v>117</v>
      </c>
      <c r="W65" s="151">
        <f t="shared" si="6"/>
        <v>26</v>
      </c>
      <c r="X65" s="73">
        <f t="shared" si="7"/>
        <v>0.20692453579999998</v>
      </c>
      <c r="Y65" s="121"/>
      <c r="Z65" s="121"/>
      <c r="AA65" s="127"/>
      <c r="AB65" s="121"/>
      <c r="AC65" s="121"/>
      <c r="AD65" s="121"/>
      <c r="AE65" s="121"/>
      <c r="AF65" s="121"/>
      <c r="AG65" s="121"/>
      <c r="JO65" s="121"/>
      <c r="JP65" s="121"/>
      <c r="JQ65" s="121"/>
      <c r="JR65" s="121"/>
      <c r="JS65" s="121"/>
      <c r="JT65" s="121"/>
      <c r="JU65" s="121"/>
      <c r="JV65" s="121"/>
      <c r="JW65" s="121"/>
      <c r="JX65" s="121"/>
      <c r="JY65" s="121"/>
      <c r="JZ65" s="121"/>
      <c r="KA65" s="121"/>
      <c r="KB65" s="121"/>
      <c r="KC65" s="121"/>
      <c r="KD65" s="121"/>
      <c r="KE65" s="121"/>
      <c r="KF65" s="121"/>
    </row>
    <row r="66" spans="2:292" hidden="1">
      <c r="B66" s="195" t="str">
        <f>IF(C66=0,"not impact",IF(E45&lt;0,"reduce","increase"))</f>
        <v>increase</v>
      </c>
      <c r="C66" s="196">
        <f>ROUND(IF(E45&lt;0,(-E45*100),(E45*100)),2)</f>
        <v>8.42</v>
      </c>
      <c r="D66" s="197" t="s">
        <v>228</v>
      </c>
      <c r="E66" s="183"/>
      <c r="F66" s="183"/>
      <c r="G66" s="183"/>
      <c r="H66" s="183"/>
      <c r="I66" s="183"/>
      <c r="J66" s="183"/>
      <c r="K66" s="183"/>
      <c r="L66" s="183"/>
      <c r="M66" s="183"/>
      <c r="N66" s="183"/>
      <c r="O66" s="183"/>
      <c r="P66" s="121"/>
      <c r="Q66" s="149" t="str">
        <f t="shared" si="3"/>
        <v/>
      </c>
      <c r="R66" s="121"/>
      <c r="S66" s="149" t="str">
        <f t="shared" si="4"/>
        <v/>
      </c>
      <c r="T66" s="150"/>
      <c r="U66" s="133" t="s">
        <v>15</v>
      </c>
      <c r="V66" s="151" t="str">
        <f t="shared" si="5"/>
        <v/>
      </c>
      <c r="W66" s="151" t="e">
        <f t="shared" si="6"/>
        <v>#VALUE!</v>
      </c>
      <c r="X66" s="73" t="e">
        <f t="shared" si="7"/>
        <v>#VALUE!</v>
      </c>
      <c r="Y66" s="281" t="s">
        <v>18</v>
      </c>
      <c r="Z66" s="282"/>
      <c r="AA66" s="127"/>
      <c r="AB66" s="121"/>
      <c r="AC66" s="121"/>
      <c r="AD66" s="121"/>
      <c r="AE66" s="121"/>
      <c r="AF66" s="121"/>
      <c r="AG66" s="121"/>
      <c r="BR66" s="120"/>
      <c r="BS66" s="120"/>
      <c r="BT66" s="120"/>
      <c r="BU66" s="120"/>
      <c r="BV66" s="120"/>
      <c r="BW66" s="120"/>
      <c r="BX66" s="120"/>
      <c r="BY66" s="120"/>
      <c r="BZ66" s="120"/>
      <c r="CA66" s="120"/>
      <c r="CB66" s="120"/>
      <c r="CC66" s="120"/>
      <c r="CD66" s="120"/>
      <c r="CE66" s="120"/>
      <c r="CF66" s="120"/>
      <c r="CG66" s="120"/>
      <c r="CH66" s="120"/>
      <c r="CI66" s="120"/>
      <c r="CJ66" s="120"/>
      <c r="CK66" s="120"/>
      <c r="CL66" s="120"/>
      <c r="CM66" s="120"/>
      <c r="CN66" s="120"/>
      <c r="CO66" s="120"/>
      <c r="CP66" s="120"/>
      <c r="CQ66" s="120"/>
      <c r="CR66" s="120"/>
      <c r="CS66" s="120"/>
      <c r="CT66" s="120"/>
      <c r="CU66" s="120"/>
      <c r="CV66" s="120"/>
      <c r="CW66" s="120"/>
      <c r="CX66" s="120"/>
      <c r="CY66" s="120"/>
      <c r="CZ66" s="120"/>
      <c r="DA66" s="120"/>
      <c r="DB66" s="120"/>
      <c r="DC66" s="120"/>
      <c r="DD66" s="120"/>
      <c r="DE66" s="120"/>
      <c r="DF66" s="120"/>
      <c r="DG66" s="120"/>
      <c r="DH66" s="120"/>
      <c r="DI66" s="120"/>
      <c r="DJ66" s="120"/>
      <c r="DK66" s="120"/>
      <c r="DL66" s="120"/>
      <c r="DM66" s="120"/>
      <c r="DN66" s="120"/>
      <c r="DO66" s="120"/>
      <c r="DP66" s="120"/>
      <c r="DQ66" s="120"/>
      <c r="DR66" s="120"/>
      <c r="DS66" s="120"/>
      <c r="DT66" s="120"/>
      <c r="DU66" s="120"/>
      <c r="DV66" s="120"/>
      <c r="DW66" s="120"/>
      <c r="DX66" s="120"/>
      <c r="DY66" s="120"/>
      <c r="DZ66" s="120"/>
      <c r="EA66" s="120"/>
      <c r="EB66" s="120"/>
      <c r="EC66" s="120"/>
      <c r="ED66" s="120"/>
      <c r="EE66" s="120"/>
      <c r="EF66" s="120"/>
      <c r="EG66" s="120"/>
      <c r="EH66" s="120"/>
      <c r="EI66" s="120"/>
      <c r="EJ66" s="120"/>
      <c r="EK66" s="120"/>
      <c r="EL66" s="120"/>
      <c r="EM66" s="120"/>
      <c r="EN66" s="120"/>
      <c r="EO66" s="120"/>
      <c r="EP66" s="120"/>
      <c r="EQ66" s="120"/>
      <c r="ER66" s="120"/>
      <c r="ES66" s="120"/>
      <c r="ET66" s="120"/>
      <c r="EU66" s="120"/>
      <c r="EV66" s="120"/>
      <c r="EW66" s="120"/>
      <c r="EX66" s="120"/>
      <c r="EY66" s="120"/>
      <c r="EZ66" s="120"/>
      <c r="FA66" s="120"/>
      <c r="FB66" s="120"/>
      <c r="FC66" s="120"/>
      <c r="FD66" s="120"/>
      <c r="FE66" s="120"/>
      <c r="FF66" s="120"/>
      <c r="FG66" s="120"/>
      <c r="FH66" s="120"/>
      <c r="FI66" s="120"/>
      <c r="FJ66" s="120"/>
      <c r="FK66" s="120"/>
      <c r="FL66" s="120"/>
      <c r="FM66" s="120"/>
      <c r="FN66" s="120"/>
      <c r="FO66" s="120"/>
      <c r="FP66" s="120"/>
      <c r="FQ66" s="120"/>
      <c r="FR66" s="120"/>
      <c r="FS66" s="120"/>
      <c r="FT66" s="120"/>
      <c r="FU66" s="120"/>
      <c r="FV66" s="120"/>
      <c r="FW66" s="120"/>
      <c r="FX66" s="120"/>
      <c r="FY66" s="120"/>
      <c r="FZ66" s="120"/>
      <c r="GA66" s="120"/>
      <c r="GB66" s="120"/>
      <c r="GC66" s="120"/>
      <c r="GD66" s="120"/>
      <c r="GE66" s="120"/>
      <c r="GF66" s="120"/>
      <c r="GG66" s="120"/>
      <c r="GH66" s="120"/>
      <c r="GI66" s="120"/>
      <c r="GJ66" s="120"/>
      <c r="GK66" s="120"/>
      <c r="GL66" s="120"/>
      <c r="GM66" s="120"/>
      <c r="GN66" s="120"/>
      <c r="GO66" s="120"/>
      <c r="GP66" s="120"/>
      <c r="GQ66" s="120"/>
      <c r="GR66" s="120"/>
      <c r="GS66" s="120"/>
      <c r="GT66" s="120"/>
      <c r="GU66" s="120"/>
      <c r="GV66" s="120"/>
      <c r="GW66" s="120"/>
      <c r="GX66" s="120"/>
      <c r="GY66" s="120"/>
      <c r="GZ66" s="120"/>
      <c r="HA66" s="120"/>
      <c r="HB66" s="120"/>
      <c r="HC66" s="120"/>
      <c r="HD66" s="120"/>
      <c r="HE66" s="120"/>
      <c r="HF66" s="120"/>
      <c r="HG66" s="120"/>
      <c r="HH66" s="120"/>
      <c r="HI66" s="120"/>
      <c r="HJ66" s="120"/>
      <c r="HK66" s="120"/>
      <c r="HL66" s="120"/>
      <c r="HM66" s="120"/>
      <c r="HN66" s="120"/>
      <c r="HO66" s="120"/>
      <c r="HP66" s="120"/>
      <c r="HQ66" s="120"/>
      <c r="HR66" s="120"/>
      <c r="HS66" s="120"/>
      <c r="HT66" s="120"/>
      <c r="HU66" s="120"/>
      <c r="HV66" s="120"/>
      <c r="HW66" s="120"/>
      <c r="HX66" s="120"/>
      <c r="HY66" s="120"/>
      <c r="HZ66" s="120"/>
      <c r="IA66" s="120"/>
      <c r="IB66" s="120"/>
      <c r="IC66" s="120"/>
      <c r="ID66" s="120"/>
      <c r="IE66" s="120"/>
      <c r="IF66" s="120"/>
      <c r="IG66" s="120"/>
      <c r="IH66" s="120"/>
      <c r="II66" s="120"/>
      <c r="IJ66" s="120"/>
      <c r="IK66" s="120"/>
      <c r="IL66" s="120"/>
      <c r="IM66" s="120"/>
      <c r="IN66" s="120"/>
      <c r="IO66" s="120"/>
      <c r="IP66" s="120"/>
      <c r="IQ66" s="120"/>
      <c r="IR66" s="120"/>
      <c r="IS66" s="120"/>
      <c r="IT66" s="120"/>
      <c r="IU66" s="120"/>
      <c r="IV66" s="120"/>
      <c r="IW66" s="120"/>
      <c r="IX66" s="120"/>
      <c r="IY66" s="120"/>
      <c r="IZ66" s="120"/>
      <c r="JA66" s="120"/>
      <c r="JB66" s="120"/>
      <c r="JC66" s="120"/>
      <c r="JD66" s="120"/>
      <c r="JE66" s="120"/>
      <c r="JF66" s="120"/>
      <c r="JG66" s="120"/>
      <c r="JH66" s="120"/>
      <c r="JI66" s="120"/>
      <c r="JJ66" s="120"/>
      <c r="JK66" s="120"/>
      <c r="JL66" s="120"/>
      <c r="JM66" s="120"/>
      <c r="JN66" s="120"/>
    </row>
    <row r="67" spans="2:292" hidden="1">
      <c r="B67" s="195" t="str">
        <f>IF(C67=0,"not impact",IF(E46&lt;0,"worsen","improve"))</f>
        <v>improve</v>
      </c>
      <c r="C67" s="196">
        <f>ROUND(IF(E46&lt;0,(-E46*100),(E46*100)),2)</f>
        <v>5.18</v>
      </c>
      <c r="D67" s="197" t="s">
        <v>228</v>
      </c>
      <c r="E67" s="183"/>
      <c r="F67" s="183"/>
      <c r="G67" s="183"/>
      <c r="H67" s="183"/>
      <c r="I67" s="183"/>
      <c r="J67" s="183"/>
      <c r="K67" s="183"/>
      <c r="L67" s="183"/>
      <c r="M67" s="183"/>
      <c r="N67" s="183"/>
      <c r="O67" s="183"/>
      <c r="P67" s="121"/>
      <c r="Q67" s="121"/>
      <c r="R67" s="121"/>
      <c r="S67" s="127"/>
      <c r="T67" s="150"/>
      <c r="U67" s="121"/>
      <c r="V67" s="151" t="s">
        <v>17</v>
      </c>
      <c r="W67" s="153">
        <f>SUM(W61:W65)</f>
        <v>107</v>
      </c>
      <c r="X67" s="121"/>
      <c r="Y67" s="133"/>
      <c r="Z67" s="133" t="s">
        <v>171</v>
      </c>
      <c r="AA67" s="127"/>
      <c r="AB67" s="121"/>
      <c r="AC67" s="121"/>
      <c r="AD67" s="121"/>
      <c r="AE67" s="121"/>
      <c r="AF67" s="121"/>
      <c r="AG67" s="121"/>
      <c r="BR67" s="120"/>
      <c r="BS67" s="120"/>
      <c r="BT67" s="120"/>
      <c r="BU67" s="120"/>
      <c r="BV67" s="120"/>
      <c r="BW67" s="120"/>
      <c r="BX67" s="120"/>
      <c r="BY67" s="120"/>
      <c r="BZ67" s="120"/>
      <c r="CA67" s="120"/>
      <c r="CB67" s="120"/>
      <c r="CC67" s="120"/>
      <c r="CD67" s="120"/>
      <c r="CE67" s="120"/>
      <c r="CF67" s="120"/>
      <c r="CG67" s="120"/>
      <c r="CH67" s="120"/>
      <c r="CI67" s="120"/>
      <c r="CJ67" s="120"/>
      <c r="CK67" s="120"/>
      <c r="CL67" s="120"/>
      <c r="CM67" s="120"/>
      <c r="CN67" s="120"/>
      <c r="CO67" s="120"/>
      <c r="CP67" s="120"/>
      <c r="CQ67" s="120"/>
      <c r="CR67" s="120"/>
      <c r="CS67" s="120"/>
      <c r="CT67" s="120"/>
      <c r="CU67" s="120"/>
      <c r="CV67" s="120"/>
      <c r="CW67" s="120"/>
      <c r="CX67" s="120"/>
      <c r="CY67" s="120"/>
      <c r="CZ67" s="120"/>
      <c r="DA67" s="120"/>
      <c r="DB67" s="120"/>
      <c r="DC67" s="120"/>
      <c r="DD67" s="120"/>
      <c r="DE67" s="120"/>
      <c r="DF67" s="120"/>
      <c r="DG67" s="120"/>
      <c r="DH67" s="120"/>
      <c r="DI67" s="120"/>
      <c r="DJ67" s="120"/>
      <c r="DK67" s="120"/>
      <c r="DL67" s="120"/>
      <c r="DM67" s="120"/>
      <c r="DN67" s="120"/>
      <c r="DO67" s="120"/>
      <c r="DP67" s="120"/>
      <c r="DQ67" s="120"/>
      <c r="DR67" s="120"/>
      <c r="DS67" s="120"/>
      <c r="DT67" s="120"/>
      <c r="DU67" s="120"/>
      <c r="DV67" s="120"/>
      <c r="DW67" s="120"/>
      <c r="DX67" s="120"/>
      <c r="DY67" s="120"/>
      <c r="DZ67" s="120"/>
      <c r="EA67" s="120"/>
      <c r="EB67" s="120"/>
      <c r="EC67" s="120"/>
      <c r="ED67" s="120"/>
      <c r="EE67" s="120"/>
      <c r="EF67" s="120"/>
      <c r="EG67" s="120"/>
      <c r="EH67" s="120"/>
      <c r="EI67" s="120"/>
      <c r="EJ67" s="120"/>
      <c r="EK67" s="120"/>
      <c r="EL67" s="120"/>
      <c r="EM67" s="120"/>
      <c r="EN67" s="120"/>
      <c r="EO67" s="120"/>
      <c r="EP67" s="120"/>
      <c r="EQ67" s="120"/>
      <c r="ER67" s="120"/>
      <c r="ES67" s="120"/>
      <c r="ET67" s="120"/>
      <c r="EU67" s="120"/>
      <c r="EV67" s="120"/>
      <c r="EW67" s="120"/>
      <c r="EX67" s="120"/>
      <c r="EY67" s="120"/>
      <c r="EZ67" s="120"/>
      <c r="FA67" s="120"/>
      <c r="FB67" s="120"/>
      <c r="FC67" s="120"/>
      <c r="FD67" s="120"/>
      <c r="FE67" s="120"/>
      <c r="FF67" s="120"/>
      <c r="FG67" s="120"/>
      <c r="FH67" s="120"/>
      <c r="FI67" s="120"/>
      <c r="FJ67" s="120"/>
      <c r="FK67" s="120"/>
      <c r="FL67" s="120"/>
      <c r="FM67" s="120"/>
      <c r="FN67" s="120"/>
      <c r="FO67" s="120"/>
      <c r="FP67" s="120"/>
      <c r="FQ67" s="120"/>
      <c r="FR67" s="120"/>
      <c r="FS67" s="120"/>
      <c r="FT67" s="120"/>
      <c r="FU67" s="120"/>
      <c r="FV67" s="120"/>
      <c r="FW67" s="120"/>
      <c r="FX67" s="120"/>
      <c r="FY67" s="120"/>
      <c r="FZ67" s="120"/>
      <c r="GA67" s="120"/>
      <c r="GB67" s="120"/>
      <c r="GC67" s="120"/>
      <c r="GD67" s="120"/>
      <c r="GE67" s="120"/>
      <c r="GF67" s="120"/>
      <c r="GG67" s="120"/>
      <c r="GH67" s="120"/>
      <c r="GI67" s="120"/>
      <c r="GJ67" s="120"/>
      <c r="GK67" s="120"/>
      <c r="GL67" s="120"/>
      <c r="GM67" s="120"/>
      <c r="GN67" s="120"/>
      <c r="GO67" s="120"/>
      <c r="GP67" s="120"/>
      <c r="GQ67" s="120"/>
      <c r="GR67" s="120"/>
      <c r="GS67" s="120"/>
      <c r="GT67" s="120"/>
      <c r="GU67" s="120"/>
      <c r="GV67" s="120"/>
      <c r="GW67" s="120"/>
      <c r="GX67" s="120"/>
      <c r="GY67" s="120"/>
      <c r="GZ67" s="120"/>
      <c r="HA67" s="120"/>
      <c r="HB67" s="120"/>
      <c r="HC67" s="120"/>
      <c r="HD67" s="120"/>
      <c r="HE67" s="120"/>
      <c r="HF67" s="120"/>
      <c r="HG67" s="120"/>
      <c r="HH67" s="120"/>
      <c r="HI67" s="120"/>
      <c r="HJ67" s="120"/>
      <c r="HK67" s="120"/>
      <c r="HL67" s="120"/>
      <c r="HM67" s="120"/>
      <c r="HN67" s="120"/>
      <c r="HO67" s="120"/>
      <c r="HP67" s="120"/>
      <c r="HQ67" s="120"/>
      <c r="HR67" s="120"/>
      <c r="HS67" s="120"/>
      <c r="HT67" s="120"/>
      <c r="HU67" s="120"/>
      <c r="HV67" s="120"/>
      <c r="HW67" s="120"/>
      <c r="HX67" s="120"/>
      <c r="HY67" s="120"/>
      <c r="HZ67" s="120"/>
      <c r="IA67" s="120"/>
      <c r="IB67" s="120"/>
      <c r="IC67" s="120"/>
      <c r="ID67" s="120"/>
      <c r="IE67" s="120"/>
      <c r="IF67" s="120"/>
      <c r="IG67" s="120"/>
      <c r="IH67" s="120"/>
      <c r="II67" s="120"/>
      <c r="IJ67" s="120"/>
      <c r="IK67" s="120"/>
      <c r="IL67" s="120"/>
      <c r="IM67" s="120"/>
      <c r="IN67" s="120"/>
      <c r="IO67" s="120"/>
      <c r="IP67" s="120"/>
      <c r="IQ67" s="120"/>
      <c r="IR67" s="120"/>
      <c r="IS67" s="120"/>
      <c r="IT67" s="120"/>
      <c r="IU67" s="120"/>
      <c r="IV67" s="120"/>
      <c r="IW67" s="120"/>
      <c r="IX67" s="120"/>
      <c r="IY67" s="120"/>
      <c r="IZ67" s="120"/>
      <c r="JA67" s="120"/>
      <c r="JB67" s="120"/>
      <c r="JC67" s="120"/>
      <c r="JD67" s="120"/>
      <c r="JE67" s="120"/>
      <c r="JF67" s="120"/>
      <c r="JG67" s="120"/>
      <c r="JH67" s="120"/>
      <c r="JI67" s="120"/>
      <c r="JJ67" s="120"/>
      <c r="JK67" s="120"/>
      <c r="JL67" s="120"/>
      <c r="JM67" s="120"/>
      <c r="JN67" s="120"/>
    </row>
    <row r="68" spans="2:292" hidden="1">
      <c r="B68" s="195" t="str">
        <f>IF(C68=0,"not impact",IF(E47&lt;0,"worsen","improve"))</f>
        <v>improve</v>
      </c>
      <c r="C68" s="196">
        <f>ROUND(IF(E47&lt;0,(-E47*100),(E47*100)),2)</f>
        <v>1.01</v>
      </c>
      <c r="D68" s="197" t="s">
        <v>228</v>
      </c>
      <c r="E68" s="183"/>
      <c r="F68" s="183"/>
      <c r="G68" s="183"/>
      <c r="H68" s="183"/>
      <c r="I68" s="183"/>
      <c r="J68" s="183"/>
      <c r="K68" s="183"/>
      <c r="L68" s="183"/>
      <c r="M68" s="183"/>
      <c r="N68" s="183"/>
      <c r="O68" s="183"/>
      <c r="P68" s="121"/>
      <c r="Q68" s="121"/>
      <c r="R68" s="121"/>
      <c r="S68" s="127"/>
      <c r="T68" s="150"/>
      <c r="U68" s="121"/>
      <c r="V68" s="121"/>
      <c r="W68" s="121"/>
      <c r="X68" s="121"/>
      <c r="Y68" s="133" t="s">
        <v>5</v>
      </c>
      <c r="Z68" s="133">
        <f>0.0000306269361758696*(V65*V65)- 0.00966436147205444*V65+ 1.47675067863161</f>
        <v>0.76527251571271959</v>
      </c>
      <c r="AA68" s="127"/>
      <c r="AC68" s="121"/>
      <c r="AD68" s="121"/>
      <c r="AE68" s="121"/>
      <c r="AF68" s="121"/>
      <c r="AG68" s="121"/>
      <c r="BR68" s="120"/>
      <c r="BS68" s="120"/>
      <c r="BT68" s="120"/>
      <c r="BU68" s="120"/>
      <c r="BV68" s="120"/>
      <c r="BW68" s="120"/>
      <c r="BX68" s="120"/>
      <c r="BY68" s="120"/>
      <c r="BZ68" s="120"/>
      <c r="CA68" s="120"/>
      <c r="CB68" s="120"/>
      <c r="CC68" s="120"/>
      <c r="CD68" s="120"/>
      <c r="CE68" s="120"/>
      <c r="CF68" s="120"/>
      <c r="CG68" s="120"/>
      <c r="CH68" s="120"/>
      <c r="CI68" s="120"/>
      <c r="CJ68" s="120"/>
      <c r="CK68" s="120"/>
      <c r="CL68" s="120"/>
      <c r="CM68" s="120"/>
      <c r="CN68" s="120"/>
      <c r="CO68" s="120"/>
      <c r="CP68" s="120"/>
      <c r="CQ68" s="120"/>
      <c r="CR68" s="120"/>
      <c r="CS68" s="120"/>
      <c r="CT68" s="120"/>
      <c r="CU68" s="120"/>
      <c r="CV68" s="120"/>
      <c r="CW68" s="120"/>
      <c r="CX68" s="120"/>
      <c r="CY68" s="120"/>
      <c r="CZ68" s="120"/>
      <c r="DA68" s="120"/>
      <c r="DB68" s="120"/>
      <c r="DC68" s="120"/>
      <c r="DD68" s="120"/>
      <c r="DE68" s="120"/>
      <c r="DF68" s="120"/>
      <c r="DG68" s="120"/>
      <c r="DH68" s="120"/>
      <c r="DI68" s="120"/>
      <c r="DJ68" s="120"/>
      <c r="DK68" s="120"/>
      <c r="DL68" s="120"/>
      <c r="DM68" s="120"/>
      <c r="DN68" s="120"/>
      <c r="DO68" s="120"/>
      <c r="DP68" s="120"/>
      <c r="DQ68" s="120"/>
      <c r="DR68" s="120"/>
      <c r="DS68" s="120"/>
      <c r="DT68" s="120"/>
      <c r="DU68" s="120"/>
      <c r="DV68" s="120"/>
      <c r="DW68" s="120"/>
      <c r="DX68" s="120"/>
      <c r="DY68" s="120"/>
      <c r="DZ68" s="120"/>
      <c r="EA68" s="120"/>
      <c r="EB68" s="120"/>
      <c r="EC68" s="120"/>
      <c r="ED68" s="120"/>
      <c r="EE68" s="120"/>
      <c r="EF68" s="120"/>
      <c r="EG68" s="120"/>
      <c r="EH68" s="120"/>
      <c r="EI68" s="120"/>
      <c r="EJ68" s="120"/>
      <c r="EK68" s="120"/>
      <c r="EL68" s="120"/>
      <c r="EM68" s="120"/>
      <c r="EN68" s="120"/>
      <c r="EO68" s="120"/>
      <c r="EP68" s="120"/>
      <c r="EQ68" s="120"/>
      <c r="ER68" s="120"/>
      <c r="ES68" s="120"/>
      <c r="ET68" s="120"/>
      <c r="EU68" s="120"/>
      <c r="EV68" s="120"/>
      <c r="EW68" s="120"/>
      <c r="EX68" s="120"/>
      <c r="EY68" s="120"/>
      <c r="EZ68" s="120"/>
      <c r="FA68" s="120"/>
      <c r="FB68" s="120"/>
      <c r="FC68" s="120"/>
      <c r="FD68" s="120"/>
      <c r="FE68" s="120"/>
      <c r="FF68" s="120"/>
      <c r="FG68" s="120"/>
      <c r="FH68" s="120"/>
      <c r="FI68" s="120"/>
      <c r="FJ68" s="120"/>
      <c r="FK68" s="120"/>
      <c r="FL68" s="120"/>
      <c r="FM68" s="120"/>
      <c r="FN68" s="120"/>
      <c r="FO68" s="120"/>
      <c r="FP68" s="120"/>
      <c r="FQ68" s="120"/>
      <c r="FR68" s="120"/>
      <c r="FS68" s="120"/>
      <c r="FT68" s="120"/>
      <c r="FU68" s="120"/>
      <c r="FV68" s="120"/>
      <c r="FW68" s="120"/>
      <c r="FX68" s="120"/>
      <c r="FY68" s="120"/>
      <c r="FZ68" s="120"/>
      <c r="GA68" s="120"/>
      <c r="GB68" s="120"/>
      <c r="GC68" s="120"/>
      <c r="GD68" s="120"/>
      <c r="GE68" s="120"/>
      <c r="GF68" s="120"/>
      <c r="GG68" s="120"/>
      <c r="GH68" s="120"/>
      <c r="GI68" s="120"/>
      <c r="GJ68" s="120"/>
      <c r="GK68" s="120"/>
      <c r="GL68" s="120"/>
      <c r="GM68" s="120"/>
      <c r="GN68" s="120"/>
      <c r="GO68" s="120"/>
      <c r="GP68" s="120"/>
      <c r="GQ68" s="120"/>
      <c r="GR68" s="120"/>
      <c r="GS68" s="120"/>
      <c r="GT68" s="120"/>
      <c r="GU68" s="120"/>
      <c r="GV68" s="120"/>
      <c r="GW68" s="120"/>
      <c r="GX68" s="120"/>
      <c r="GY68" s="120"/>
      <c r="GZ68" s="120"/>
      <c r="HA68" s="120"/>
      <c r="HB68" s="120"/>
      <c r="HC68" s="120"/>
      <c r="HD68" s="120"/>
      <c r="HE68" s="120"/>
      <c r="HF68" s="120"/>
      <c r="HG68" s="120"/>
      <c r="HH68" s="120"/>
      <c r="HI68" s="120"/>
      <c r="HJ68" s="120"/>
      <c r="HK68" s="120"/>
      <c r="HL68" s="120"/>
      <c r="HM68" s="120"/>
      <c r="HN68" s="120"/>
      <c r="HO68" s="120"/>
      <c r="HP68" s="120"/>
      <c r="HQ68" s="120"/>
      <c r="HR68" s="120"/>
      <c r="HS68" s="120"/>
      <c r="HT68" s="120"/>
      <c r="HU68" s="120"/>
      <c r="HV68" s="120"/>
      <c r="HW68" s="120"/>
      <c r="HX68" s="120"/>
      <c r="HY68" s="120"/>
      <c r="HZ68" s="120"/>
      <c r="IA68" s="120"/>
      <c r="IB68" s="120"/>
      <c r="IC68" s="120"/>
      <c r="ID68" s="120"/>
      <c r="IE68" s="120"/>
      <c r="IF68" s="120"/>
      <c r="IG68" s="120"/>
      <c r="IH68" s="120"/>
      <c r="II68" s="120"/>
      <c r="IJ68" s="120"/>
      <c r="IK68" s="120"/>
      <c r="IL68" s="120"/>
      <c r="IM68" s="120"/>
      <c r="IN68" s="120"/>
      <c r="IO68" s="120"/>
      <c r="IP68" s="120"/>
      <c r="IQ68" s="120"/>
      <c r="IR68" s="120"/>
      <c r="IS68" s="120"/>
      <c r="IT68" s="120"/>
      <c r="IU68" s="120"/>
      <c r="IV68" s="120"/>
      <c r="IW68" s="120"/>
      <c r="IX68" s="120"/>
      <c r="IY68" s="120"/>
      <c r="IZ68" s="120"/>
      <c r="JA68" s="120"/>
      <c r="JB68" s="120"/>
      <c r="JC68" s="120"/>
      <c r="JD68" s="120"/>
      <c r="JE68" s="120"/>
      <c r="JF68" s="120"/>
      <c r="JG68" s="120"/>
      <c r="JH68" s="120"/>
      <c r="JI68" s="120"/>
      <c r="JJ68" s="120"/>
      <c r="JK68" s="120"/>
      <c r="JL68" s="120"/>
      <c r="JM68" s="120"/>
      <c r="JN68" s="120"/>
    </row>
    <row r="69" spans="2:292" hidden="1">
      <c r="B69" s="183"/>
      <c r="C69" s="183"/>
      <c r="D69" s="183"/>
      <c r="E69" s="183"/>
      <c r="F69" s="183"/>
      <c r="G69" s="183"/>
      <c r="H69" s="183"/>
      <c r="I69" s="183"/>
      <c r="J69" s="183"/>
      <c r="K69" s="183"/>
      <c r="L69" s="183"/>
      <c r="M69" s="183"/>
      <c r="N69" s="183"/>
      <c r="O69" s="183"/>
      <c r="P69" s="121"/>
      <c r="Q69" s="121"/>
      <c r="R69" s="121"/>
      <c r="S69" s="127"/>
      <c r="T69" s="127"/>
      <c r="U69" s="121"/>
      <c r="V69" s="121"/>
      <c r="W69" s="121"/>
      <c r="X69" s="121"/>
      <c r="AA69" s="127"/>
      <c r="AB69" s="121"/>
      <c r="AC69" s="121"/>
      <c r="AD69" s="121"/>
      <c r="AE69" s="121"/>
      <c r="AF69" s="121"/>
      <c r="AG69" s="121"/>
      <c r="BR69" s="120"/>
      <c r="BS69" s="120"/>
      <c r="BT69" s="120"/>
      <c r="BU69" s="120"/>
      <c r="BV69" s="120"/>
      <c r="BW69" s="120"/>
      <c r="BX69" s="120"/>
      <c r="BY69" s="120"/>
      <c r="BZ69" s="120"/>
      <c r="CA69" s="120"/>
      <c r="CB69" s="120"/>
      <c r="CC69" s="120"/>
      <c r="CD69" s="120"/>
      <c r="CE69" s="120"/>
      <c r="CF69" s="120"/>
      <c r="CG69" s="120"/>
      <c r="CH69" s="120"/>
      <c r="CI69" s="120"/>
      <c r="CJ69" s="120"/>
      <c r="CK69" s="120"/>
      <c r="CL69" s="120"/>
      <c r="CM69" s="120"/>
      <c r="CN69" s="120"/>
      <c r="CO69" s="120"/>
      <c r="CP69" s="120"/>
      <c r="CQ69" s="120"/>
      <c r="CR69" s="120"/>
      <c r="CS69" s="120"/>
      <c r="CT69" s="120"/>
      <c r="CU69" s="120"/>
      <c r="CV69" s="120"/>
      <c r="CW69" s="120"/>
      <c r="CX69" s="120"/>
      <c r="CY69" s="120"/>
      <c r="CZ69" s="120"/>
      <c r="DA69" s="120"/>
      <c r="DB69" s="120"/>
      <c r="DC69" s="120"/>
      <c r="DD69" s="120"/>
      <c r="DE69" s="120"/>
      <c r="DF69" s="120"/>
      <c r="DG69" s="120"/>
      <c r="DH69" s="120"/>
      <c r="DI69" s="120"/>
      <c r="DJ69" s="120"/>
      <c r="DK69" s="120"/>
      <c r="DL69" s="120"/>
      <c r="DM69" s="120"/>
      <c r="DN69" s="120"/>
      <c r="DO69" s="120"/>
      <c r="DP69" s="120"/>
      <c r="DQ69" s="120"/>
      <c r="DR69" s="120"/>
      <c r="DS69" s="120"/>
      <c r="DT69" s="120"/>
      <c r="DU69" s="120"/>
      <c r="DV69" s="120"/>
      <c r="DW69" s="120"/>
      <c r="DX69" s="120"/>
      <c r="DY69" s="120"/>
      <c r="DZ69" s="120"/>
      <c r="EA69" s="120"/>
      <c r="EB69" s="120"/>
      <c r="EC69" s="120"/>
      <c r="ED69" s="120"/>
      <c r="EE69" s="120"/>
      <c r="EF69" s="120"/>
      <c r="EG69" s="120"/>
      <c r="EH69" s="120"/>
      <c r="EI69" s="120"/>
      <c r="EJ69" s="120"/>
      <c r="EK69" s="120"/>
      <c r="EL69" s="120"/>
      <c r="EM69" s="120"/>
      <c r="EN69" s="120"/>
      <c r="EO69" s="120"/>
      <c r="EP69" s="120"/>
      <c r="EQ69" s="120"/>
      <c r="ER69" s="120"/>
      <c r="ES69" s="120"/>
      <c r="ET69" s="120"/>
      <c r="EU69" s="120"/>
      <c r="EV69" s="120"/>
      <c r="EW69" s="120"/>
      <c r="EX69" s="120"/>
      <c r="EY69" s="120"/>
      <c r="EZ69" s="120"/>
      <c r="FA69" s="120"/>
      <c r="FB69" s="120"/>
      <c r="FC69" s="120"/>
      <c r="FD69" s="120"/>
      <c r="FE69" s="120"/>
      <c r="FF69" s="120"/>
      <c r="FG69" s="120"/>
      <c r="FH69" s="120"/>
      <c r="FI69" s="120"/>
      <c r="FJ69" s="120"/>
      <c r="FK69" s="120"/>
      <c r="FL69" s="120"/>
      <c r="FM69" s="120"/>
      <c r="FN69" s="120"/>
      <c r="FO69" s="120"/>
      <c r="FP69" s="120"/>
      <c r="FQ69" s="120"/>
      <c r="FR69" s="120"/>
      <c r="FS69" s="120"/>
      <c r="FT69" s="120"/>
      <c r="FU69" s="120"/>
      <c r="FV69" s="120"/>
      <c r="FW69" s="120"/>
      <c r="FX69" s="120"/>
      <c r="FY69" s="120"/>
      <c r="FZ69" s="120"/>
      <c r="GA69" s="120"/>
      <c r="GB69" s="120"/>
      <c r="GC69" s="120"/>
      <c r="GD69" s="120"/>
      <c r="GE69" s="120"/>
      <c r="GF69" s="120"/>
      <c r="GG69" s="120"/>
      <c r="GH69" s="120"/>
      <c r="GI69" s="120"/>
      <c r="GJ69" s="120"/>
      <c r="GK69" s="120"/>
      <c r="GL69" s="120"/>
      <c r="GM69" s="120"/>
      <c r="GN69" s="120"/>
      <c r="GO69" s="120"/>
      <c r="GP69" s="120"/>
      <c r="GQ69" s="120"/>
      <c r="GR69" s="120"/>
      <c r="GS69" s="120"/>
      <c r="GT69" s="120"/>
      <c r="GU69" s="120"/>
      <c r="GV69" s="120"/>
      <c r="GW69" s="120"/>
      <c r="GX69" s="120"/>
      <c r="GY69" s="120"/>
      <c r="GZ69" s="120"/>
      <c r="HA69" s="120"/>
      <c r="HB69" s="120"/>
      <c r="HC69" s="120"/>
      <c r="HD69" s="120"/>
      <c r="HE69" s="120"/>
      <c r="HF69" s="120"/>
      <c r="HG69" s="120"/>
      <c r="HH69" s="120"/>
      <c r="HI69" s="120"/>
      <c r="HJ69" s="120"/>
      <c r="HK69" s="120"/>
      <c r="HL69" s="120"/>
      <c r="HM69" s="120"/>
      <c r="HN69" s="120"/>
      <c r="HO69" s="120"/>
      <c r="HP69" s="120"/>
      <c r="HQ69" s="120"/>
      <c r="HR69" s="120"/>
      <c r="HS69" s="120"/>
      <c r="HT69" s="120"/>
      <c r="HU69" s="120"/>
      <c r="HV69" s="120"/>
      <c r="HW69" s="120"/>
      <c r="HX69" s="120"/>
      <c r="HY69" s="120"/>
      <c r="HZ69" s="120"/>
      <c r="IA69" s="120"/>
      <c r="IB69" s="120"/>
      <c r="IC69" s="120"/>
      <c r="ID69" s="120"/>
      <c r="IE69" s="120"/>
      <c r="IF69" s="120"/>
      <c r="IG69" s="120"/>
      <c r="IH69" s="120"/>
      <c r="II69" s="120"/>
      <c r="IJ69" s="120"/>
      <c r="IK69" s="120"/>
      <c r="IL69" s="120"/>
      <c r="IM69" s="120"/>
      <c r="IN69" s="120"/>
      <c r="IO69" s="120"/>
      <c r="IP69" s="120"/>
      <c r="IQ69" s="120"/>
      <c r="IR69" s="120"/>
      <c r="IS69" s="120"/>
      <c r="IT69" s="120"/>
      <c r="IU69" s="120"/>
      <c r="IV69" s="120"/>
      <c r="IW69" s="120"/>
      <c r="IX69" s="120"/>
      <c r="IY69" s="120"/>
      <c r="IZ69" s="120"/>
      <c r="JA69" s="120"/>
      <c r="JB69" s="120"/>
      <c r="JC69" s="120"/>
      <c r="JD69" s="120"/>
      <c r="JE69" s="120"/>
      <c r="JF69" s="120"/>
      <c r="JG69" s="120"/>
      <c r="JH69" s="120"/>
      <c r="JI69" s="120"/>
      <c r="JJ69" s="120"/>
      <c r="JK69" s="120"/>
      <c r="JL69" s="120"/>
      <c r="JM69" s="120"/>
      <c r="JN69" s="120"/>
    </row>
    <row r="70" spans="2:292" hidden="1">
      <c r="B70" s="195" t="str">
        <f>IF(C70=0,"not impact",IF(E49&lt;0,"reduce","increase"))</f>
        <v>increase</v>
      </c>
      <c r="C70" s="196">
        <f>ROUND(IF(E49&lt;0,(-E49*100),(E49*100)),2)</f>
        <v>8.43</v>
      </c>
      <c r="D70" s="197" t="s">
        <v>228</v>
      </c>
      <c r="E70" s="183"/>
      <c r="F70" s="183"/>
      <c r="G70" s="183"/>
      <c r="H70" s="183"/>
      <c r="I70" s="183"/>
      <c r="J70" s="183"/>
      <c r="K70" s="183"/>
      <c r="L70" s="183"/>
      <c r="M70" s="183"/>
      <c r="N70" s="183"/>
      <c r="O70" s="183"/>
      <c r="P70" s="121"/>
      <c r="Q70" s="121"/>
      <c r="R70" s="121"/>
      <c r="S70" s="121"/>
      <c r="T70" s="121"/>
      <c r="U70" s="121"/>
      <c r="V70" s="121"/>
      <c r="W70" s="121"/>
      <c r="X70" s="121"/>
      <c r="Y70" s="280" t="s">
        <v>97</v>
      </c>
      <c r="Z70" s="280"/>
      <c r="AA70" s="127"/>
      <c r="AB70" s="121"/>
      <c r="AC70" s="121"/>
      <c r="AD70" s="121"/>
      <c r="AE70" s="121"/>
      <c r="AF70" s="121"/>
      <c r="AG70" s="121"/>
      <c r="BR70" s="120"/>
      <c r="BS70" s="120"/>
      <c r="BT70" s="120"/>
      <c r="BU70" s="120"/>
      <c r="BV70" s="120"/>
      <c r="BW70" s="120"/>
      <c r="BX70" s="120"/>
      <c r="BY70" s="120"/>
      <c r="BZ70" s="120"/>
      <c r="CA70" s="120"/>
      <c r="CB70" s="120"/>
      <c r="CC70" s="120"/>
      <c r="CD70" s="120"/>
      <c r="CE70" s="120"/>
      <c r="CF70" s="120"/>
      <c r="CG70" s="120"/>
      <c r="CH70" s="120"/>
      <c r="CI70" s="120"/>
      <c r="CJ70" s="120"/>
      <c r="CK70" s="120"/>
      <c r="CL70" s="120"/>
      <c r="CM70" s="120"/>
      <c r="CN70" s="120"/>
      <c r="CO70" s="120"/>
      <c r="CP70" s="120"/>
      <c r="CQ70" s="120"/>
      <c r="CR70" s="120"/>
      <c r="CS70" s="120"/>
      <c r="CT70" s="120"/>
      <c r="CU70" s="120"/>
      <c r="CV70" s="120"/>
      <c r="CW70" s="120"/>
      <c r="CX70" s="120"/>
      <c r="CY70" s="120"/>
      <c r="CZ70" s="120"/>
      <c r="DA70" s="120"/>
      <c r="DB70" s="120"/>
      <c r="DC70" s="120"/>
      <c r="DD70" s="120"/>
      <c r="DE70" s="120"/>
      <c r="DF70" s="120"/>
      <c r="DG70" s="120"/>
      <c r="DH70" s="120"/>
      <c r="DI70" s="120"/>
      <c r="DJ70" s="120"/>
      <c r="DK70" s="120"/>
      <c r="DL70" s="120"/>
      <c r="DM70" s="120"/>
      <c r="DN70" s="120"/>
      <c r="DO70" s="120"/>
      <c r="DP70" s="120"/>
      <c r="DQ70" s="120"/>
      <c r="DR70" s="120"/>
      <c r="DS70" s="120"/>
      <c r="DT70" s="120"/>
      <c r="DU70" s="120"/>
      <c r="DV70" s="120"/>
      <c r="DW70" s="120"/>
      <c r="DX70" s="120"/>
      <c r="DY70" s="120"/>
      <c r="DZ70" s="120"/>
      <c r="EA70" s="120"/>
      <c r="EB70" s="120"/>
      <c r="EC70" s="120"/>
      <c r="ED70" s="120"/>
      <c r="EE70" s="120"/>
      <c r="EF70" s="120"/>
      <c r="EG70" s="120"/>
      <c r="EH70" s="120"/>
      <c r="EI70" s="120"/>
      <c r="EJ70" s="120"/>
      <c r="EK70" s="120"/>
      <c r="EL70" s="120"/>
      <c r="EM70" s="120"/>
      <c r="EN70" s="120"/>
      <c r="EO70" s="120"/>
      <c r="EP70" s="120"/>
      <c r="EQ70" s="120"/>
      <c r="ER70" s="120"/>
      <c r="ES70" s="120"/>
      <c r="ET70" s="120"/>
      <c r="EU70" s="120"/>
      <c r="EV70" s="120"/>
      <c r="EW70" s="120"/>
      <c r="EX70" s="120"/>
      <c r="EY70" s="120"/>
      <c r="EZ70" s="120"/>
      <c r="FA70" s="120"/>
      <c r="FB70" s="120"/>
      <c r="FC70" s="120"/>
      <c r="FD70" s="120"/>
      <c r="FE70" s="120"/>
      <c r="FF70" s="120"/>
      <c r="FG70" s="120"/>
      <c r="FH70" s="120"/>
      <c r="FI70" s="120"/>
      <c r="FJ70" s="120"/>
      <c r="FK70" s="120"/>
      <c r="FL70" s="120"/>
      <c r="FM70" s="120"/>
      <c r="FN70" s="120"/>
      <c r="FO70" s="120"/>
      <c r="FP70" s="120"/>
      <c r="FQ70" s="120"/>
      <c r="FR70" s="120"/>
      <c r="FS70" s="120"/>
      <c r="FT70" s="120"/>
      <c r="FU70" s="120"/>
      <c r="FV70" s="120"/>
      <c r="FW70" s="120"/>
      <c r="FX70" s="120"/>
      <c r="FY70" s="120"/>
      <c r="FZ70" s="120"/>
      <c r="GA70" s="120"/>
      <c r="GB70" s="120"/>
      <c r="GC70" s="120"/>
      <c r="GD70" s="120"/>
      <c r="GE70" s="120"/>
      <c r="GF70" s="120"/>
      <c r="GG70" s="120"/>
      <c r="GH70" s="120"/>
      <c r="GI70" s="120"/>
      <c r="GJ70" s="120"/>
      <c r="GK70" s="120"/>
      <c r="GL70" s="120"/>
      <c r="GM70" s="120"/>
      <c r="GN70" s="120"/>
      <c r="GO70" s="120"/>
      <c r="GP70" s="120"/>
      <c r="GQ70" s="120"/>
      <c r="GR70" s="120"/>
      <c r="GS70" s="120"/>
      <c r="GT70" s="120"/>
      <c r="GU70" s="120"/>
      <c r="GV70" s="120"/>
      <c r="GW70" s="120"/>
      <c r="GX70" s="120"/>
      <c r="GY70" s="120"/>
      <c r="GZ70" s="120"/>
      <c r="HA70" s="120"/>
      <c r="HB70" s="120"/>
      <c r="HC70" s="120"/>
      <c r="HD70" s="120"/>
      <c r="HE70" s="120"/>
      <c r="HF70" s="120"/>
      <c r="HG70" s="120"/>
      <c r="HH70" s="120"/>
      <c r="HI70" s="120"/>
      <c r="HJ70" s="120"/>
      <c r="HK70" s="120"/>
      <c r="HL70" s="120"/>
      <c r="HM70" s="120"/>
      <c r="HN70" s="120"/>
      <c r="HO70" s="120"/>
      <c r="HP70" s="120"/>
      <c r="HQ70" s="120"/>
      <c r="HR70" s="120"/>
      <c r="HS70" s="120"/>
      <c r="HT70" s="120"/>
      <c r="HU70" s="120"/>
      <c r="HV70" s="120"/>
      <c r="HW70" s="120"/>
      <c r="HX70" s="120"/>
      <c r="HY70" s="120"/>
      <c r="HZ70" s="120"/>
      <c r="IA70" s="120"/>
      <c r="IB70" s="120"/>
      <c r="IC70" s="120"/>
      <c r="ID70" s="120"/>
      <c r="IE70" s="120"/>
      <c r="IF70" s="120"/>
      <c r="IG70" s="120"/>
      <c r="IH70" s="120"/>
      <c r="II70" s="120"/>
      <c r="IJ70" s="120"/>
      <c r="IK70" s="120"/>
      <c r="IL70" s="120"/>
      <c r="IM70" s="120"/>
      <c r="IN70" s="120"/>
      <c r="IO70" s="120"/>
      <c r="IP70" s="120"/>
      <c r="IQ70" s="120"/>
      <c r="IR70" s="120"/>
      <c r="IS70" s="120"/>
      <c r="IT70" s="120"/>
      <c r="IU70" s="120"/>
      <c r="IV70" s="120"/>
      <c r="IW70" s="120"/>
      <c r="IX70" s="120"/>
      <c r="IY70" s="120"/>
      <c r="IZ70" s="120"/>
      <c r="JA70" s="120"/>
      <c r="JB70" s="120"/>
      <c r="JC70" s="120"/>
      <c r="JD70" s="120"/>
      <c r="JE70" s="120"/>
      <c r="JF70" s="120"/>
      <c r="JG70" s="120"/>
      <c r="JH70" s="120"/>
      <c r="JI70" s="120"/>
      <c r="JJ70" s="120"/>
      <c r="JK70" s="120"/>
      <c r="JL70" s="120"/>
      <c r="JM70" s="120"/>
      <c r="JN70" s="120"/>
    </row>
    <row r="71" spans="2:292" hidden="1">
      <c r="B71" s="195" t="str">
        <f>IF(C71=0,"not impact",IF(E50&lt;0,"worsen","improve"))</f>
        <v>improve</v>
      </c>
      <c r="C71" s="196">
        <f>ROUND(IF(E50&lt;0,(-E50*100),(E50*100)),2)</f>
        <v>5.18</v>
      </c>
      <c r="D71" s="197" t="s">
        <v>228</v>
      </c>
      <c r="E71" s="183"/>
      <c r="F71" s="183"/>
      <c r="G71" s="183"/>
      <c r="H71" s="183"/>
      <c r="I71" s="183"/>
      <c r="J71" s="183"/>
      <c r="K71" s="183"/>
      <c r="L71" s="183"/>
      <c r="M71" s="183"/>
      <c r="N71" s="183"/>
      <c r="O71" s="183"/>
      <c r="P71" s="121"/>
      <c r="Q71" s="121"/>
      <c r="R71" s="121"/>
      <c r="S71" s="121"/>
      <c r="T71" s="121"/>
      <c r="U71" s="121"/>
      <c r="V71" s="121"/>
      <c r="W71" s="121"/>
      <c r="X71" s="121"/>
      <c r="Y71" s="154"/>
      <c r="Z71" s="154"/>
      <c r="AA71" s="127"/>
      <c r="AB71" s="121"/>
      <c r="AC71" s="121"/>
      <c r="AD71" s="121"/>
      <c r="AE71" s="121"/>
      <c r="AF71" s="121"/>
      <c r="AG71" s="121"/>
      <c r="BR71" s="120"/>
      <c r="BS71" s="120"/>
      <c r="BT71" s="120"/>
      <c r="BU71" s="120"/>
      <c r="BV71" s="120"/>
      <c r="BW71" s="120"/>
      <c r="BX71" s="120"/>
      <c r="BY71" s="120"/>
      <c r="BZ71" s="120"/>
      <c r="CA71" s="120"/>
      <c r="CB71" s="120"/>
      <c r="CC71" s="120"/>
      <c r="CD71" s="120"/>
      <c r="CE71" s="120"/>
      <c r="CF71" s="120"/>
      <c r="CG71" s="120"/>
      <c r="CH71" s="120"/>
      <c r="CI71" s="120"/>
      <c r="CJ71" s="120"/>
      <c r="CK71" s="120"/>
      <c r="CL71" s="120"/>
      <c r="CM71" s="120"/>
      <c r="CN71" s="120"/>
      <c r="CO71" s="120"/>
      <c r="CP71" s="120"/>
      <c r="CQ71" s="120"/>
      <c r="CR71" s="120"/>
      <c r="CS71" s="120"/>
      <c r="CT71" s="120"/>
      <c r="CU71" s="120"/>
      <c r="CV71" s="120"/>
      <c r="CW71" s="120"/>
      <c r="CX71" s="120"/>
      <c r="CY71" s="120"/>
      <c r="CZ71" s="120"/>
      <c r="DA71" s="120"/>
      <c r="DB71" s="120"/>
      <c r="DC71" s="120"/>
      <c r="DD71" s="120"/>
      <c r="DE71" s="120"/>
      <c r="DF71" s="120"/>
      <c r="DG71" s="120"/>
      <c r="DH71" s="120"/>
      <c r="DI71" s="120"/>
      <c r="DJ71" s="120"/>
      <c r="DK71" s="120"/>
      <c r="DL71" s="120"/>
      <c r="DM71" s="120"/>
      <c r="DN71" s="120"/>
      <c r="DO71" s="120"/>
      <c r="DP71" s="120"/>
      <c r="DQ71" s="120"/>
      <c r="DR71" s="120"/>
      <c r="DS71" s="120"/>
      <c r="DT71" s="120"/>
      <c r="DU71" s="120"/>
      <c r="DV71" s="120"/>
      <c r="DW71" s="120"/>
      <c r="DX71" s="120"/>
      <c r="DY71" s="120"/>
      <c r="DZ71" s="120"/>
      <c r="EA71" s="120"/>
      <c r="EB71" s="120"/>
      <c r="EC71" s="120"/>
      <c r="ED71" s="120"/>
      <c r="EE71" s="120"/>
      <c r="EF71" s="120"/>
      <c r="EG71" s="120"/>
      <c r="EH71" s="120"/>
      <c r="EI71" s="120"/>
      <c r="EJ71" s="120"/>
      <c r="EK71" s="120"/>
      <c r="EL71" s="120"/>
      <c r="EM71" s="120"/>
      <c r="EN71" s="120"/>
      <c r="EO71" s="120"/>
      <c r="EP71" s="120"/>
      <c r="EQ71" s="120"/>
      <c r="ER71" s="120"/>
      <c r="ES71" s="120"/>
      <c r="ET71" s="120"/>
      <c r="EU71" s="120"/>
      <c r="EV71" s="120"/>
      <c r="EW71" s="120"/>
      <c r="EX71" s="120"/>
      <c r="EY71" s="120"/>
      <c r="EZ71" s="120"/>
      <c r="FA71" s="120"/>
      <c r="FB71" s="120"/>
      <c r="FC71" s="120"/>
      <c r="FD71" s="120"/>
      <c r="FE71" s="120"/>
      <c r="FF71" s="120"/>
      <c r="FG71" s="120"/>
      <c r="FH71" s="120"/>
      <c r="FI71" s="120"/>
      <c r="FJ71" s="120"/>
      <c r="FK71" s="120"/>
      <c r="FL71" s="120"/>
      <c r="FM71" s="120"/>
      <c r="FN71" s="120"/>
      <c r="FO71" s="120"/>
      <c r="FP71" s="120"/>
      <c r="FQ71" s="120"/>
      <c r="FR71" s="120"/>
      <c r="FS71" s="120"/>
      <c r="FT71" s="120"/>
      <c r="FU71" s="120"/>
      <c r="FV71" s="120"/>
      <c r="FW71" s="120"/>
      <c r="FX71" s="120"/>
      <c r="FY71" s="120"/>
      <c r="FZ71" s="120"/>
      <c r="GA71" s="120"/>
      <c r="GB71" s="120"/>
      <c r="GC71" s="120"/>
      <c r="GD71" s="120"/>
      <c r="GE71" s="120"/>
      <c r="GF71" s="120"/>
      <c r="GG71" s="120"/>
      <c r="GH71" s="120"/>
      <c r="GI71" s="120"/>
      <c r="GJ71" s="120"/>
      <c r="GK71" s="120"/>
      <c r="GL71" s="120"/>
      <c r="GM71" s="120"/>
      <c r="GN71" s="120"/>
      <c r="GO71" s="120"/>
      <c r="GP71" s="120"/>
      <c r="GQ71" s="120"/>
      <c r="GR71" s="120"/>
      <c r="GS71" s="120"/>
      <c r="GT71" s="120"/>
      <c r="GU71" s="120"/>
      <c r="GV71" s="120"/>
      <c r="GW71" s="120"/>
      <c r="GX71" s="120"/>
      <c r="GY71" s="120"/>
      <c r="GZ71" s="120"/>
      <c r="HA71" s="120"/>
      <c r="HB71" s="120"/>
      <c r="HC71" s="120"/>
      <c r="HD71" s="120"/>
      <c r="HE71" s="120"/>
      <c r="HF71" s="120"/>
      <c r="HG71" s="120"/>
      <c r="HH71" s="120"/>
      <c r="HI71" s="120"/>
      <c r="HJ71" s="120"/>
      <c r="HK71" s="120"/>
      <c r="HL71" s="120"/>
      <c r="HM71" s="120"/>
      <c r="HN71" s="120"/>
      <c r="HO71" s="120"/>
      <c r="HP71" s="120"/>
      <c r="HQ71" s="120"/>
      <c r="HR71" s="120"/>
      <c r="HS71" s="120"/>
      <c r="HT71" s="120"/>
      <c r="HU71" s="120"/>
      <c r="HV71" s="120"/>
      <c r="HW71" s="120"/>
      <c r="HX71" s="120"/>
      <c r="HY71" s="120"/>
      <c r="HZ71" s="120"/>
      <c r="IA71" s="120"/>
      <c r="IB71" s="120"/>
      <c r="IC71" s="120"/>
      <c r="ID71" s="120"/>
      <c r="IE71" s="120"/>
      <c r="IF71" s="120"/>
      <c r="IG71" s="120"/>
      <c r="IH71" s="120"/>
      <c r="II71" s="120"/>
      <c r="IJ71" s="120"/>
      <c r="IK71" s="120"/>
      <c r="IL71" s="120"/>
      <c r="IM71" s="120"/>
      <c r="IN71" s="120"/>
      <c r="IO71" s="120"/>
      <c r="IP71" s="120"/>
      <c r="IQ71" s="120"/>
      <c r="IR71" s="120"/>
      <c r="IS71" s="120"/>
      <c r="IT71" s="120"/>
      <c r="IU71" s="120"/>
      <c r="IV71" s="120"/>
      <c r="IW71" s="120"/>
      <c r="IX71" s="120"/>
      <c r="IY71" s="120"/>
      <c r="IZ71" s="120"/>
      <c r="JA71" s="120"/>
      <c r="JB71" s="120"/>
      <c r="JC71" s="120"/>
      <c r="JD71" s="120"/>
      <c r="JE71" s="120"/>
      <c r="JF71" s="120"/>
      <c r="JG71" s="120"/>
      <c r="JH71" s="120"/>
      <c r="JI71" s="120"/>
      <c r="JJ71" s="120"/>
      <c r="JK71" s="120"/>
      <c r="JL71" s="120"/>
      <c r="JM71" s="120"/>
      <c r="JN71" s="120"/>
    </row>
    <row r="72" spans="2:292" hidden="1">
      <c r="B72" s="195" t="str">
        <f>IF(C72=0,"not impact",IF(E51&lt;0,"worsen","improve"))</f>
        <v>improve</v>
      </c>
      <c r="C72" s="196">
        <f>ROUND(IF(E51&lt;0,(-E51*100),(E51*100)),2)</f>
        <v>1.01</v>
      </c>
      <c r="D72" s="197" t="s">
        <v>228</v>
      </c>
      <c r="E72" s="183"/>
      <c r="F72" s="183"/>
      <c r="G72" s="183"/>
      <c r="H72" s="183"/>
      <c r="I72" s="183"/>
      <c r="J72" s="183"/>
      <c r="K72" s="183"/>
      <c r="L72" s="183"/>
      <c r="M72" s="183"/>
      <c r="N72" s="183"/>
      <c r="O72" s="183"/>
      <c r="P72" s="121"/>
      <c r="Q72" s="121"/>
      <c r="R72" s="121"/>
      <c r="S72" s="248" t="s">
        <v>145</v>
      </c>
      <c r="T72" s="248"/>
      <c r="U72" s="248"/>
      <c r="V72" s="121"/>
      <c r="W72" s="121"/>
      <c r="X72" s="121"/>
      <c r="Y72" s="133"/>
      <c r="Z72" s="133" t="s">
        <v>171</v>
      </c>
      <c r="AA72" s="127"/>
      <c r="AB72" s="121"/>
      <c r="AC72" s="121"/>
      <c r="AD72" s="121"/>
      <c r="AE72" s="121"/>
      <c r="AF72" s="121"/>
      <c r="AG72" s="121"/>
      <c r="BR72" s="120"/>
      <c r="BS72" s="120"/>
      <c r="BT72" s="120"/>
      <c r="BU72" s="120"/>
      <c r="BV72" s="120"/>
      <c r="BW72" s="120"/>
      <c r="BX72" s="120"/>
      <c r="BY72" s="120"/>
      <c r="BZ72" s="120"/>
      <c r="CA72" s="120"/>
      <c r="CB72" s="120"/>
      <c r="CC72" s="120"/>
      <c r="CD72" s="120"/>
      <c r="CE72" s="120"/>
      <c r="CF72" s="120"/>
      <c r="CG72" s="120"/>
      <c r="CH72" s="120"/>
      <c r="CI72" s="120"/>
      <c r="CJ72" s="120"/>
      <c r="CK72" s="120"/>
      <c r="CL72" s="120"/>
      <c r="CM72" s="120"/>
      <c r="CN72" s="120"/>
      <c r="CO72" s="120"/>
      <c r="CP72" s="120"/>
      <c r="CQ72" s="120"/>
      <c r="CR72" s="120"/>
      <c r="CS72" s="120"/>
      <c r="CT72" s="120"/>
      <c r="CU72" s="120"/>
      <c r="CV72" s="120"/>
      <c r="CW72" s="120"/>
      <c r="CX72" s="120"/>
      <c r="CY72" s="120"/>
      <c r="CZ72" s="120"/>
      <c r="DA72" s="120"/>
      <c r="DB72" s="120"/>
      <c r="DC72" s="120"/>
      <c r="DD72" s="120"/>
      <c r="DE72" s="120"/>
      <c r="DF72" s="120"/>
      <c r="DG72" s="120"/>
      <c r="DH72" s="120"/>
      <c r="DI72" s="120"/>
      <c r="DJ72" s="120"/>
      <c r="DK72" s="120"/>
      <c r="DL72" s="120"/>
      <c r="DM72" s="120"/>
      <c r="DN72" s="120"/>
      <c r="DO72" s="120"/>
      <c r="DP72" s="120"/>
      <c r="DQ72" s="120"/>
      <c r="DR72" s="120"/>
      <c r="DS72" s="120"/>
      <c r="DT72" s="120"/>
      <c r="DU72" s="120"/>
      <c r="DV72" s="120"/>
      <c r="DW72" s="120"/>
      <c r="DX72" s="120"/>
      <c r="DY72" s="120"/>
      <c r="DZ72" s="120"/>
      <c r="EA72" s="120"/>
      <c r="EB72" s="120"/>
      <c r="EC72" s="120"/>
      <c r="ED72" s="120"/>
      <c r="EE72" s="120"/>
      <c r="EF72" s="120"/>
      <c r="EG72" s="120"/>
      <c r="EH72" s="120"/>
      <c r="EI72" s="120"/>
      <c r="EJ72" s="120"/>
      <c r="EK72" s="120"/>
      <c r="EL72" s="120"/>
      <c r="EM72" s="120"/>
      <c r="EN72" s="120"/>
      <c r="EO72" s="120"/>
      <c r="EP72" s="120"/>
      <c r="EQ72" s="120"/>
      <c r="ER72" s="120"/>
      <c r="ES72" s="120"/>
      <c r="ET72" s="120"/>
      <c r="EU72" s="120"/>
      <c r="EV72" s="120"/>
      <c r="EW72" s="120"/>
      <c r="EX72" s="120"/>
      <c r="EY72" s="120"/>
      <c r="EZ72" s="120"/>
      <c r="FA72" s="120"/>
      <c r="FB72" s="120"/>
      <c r="FC72" s="120"/>
      <c r="FD72" s="120"/>
      <c r="FE72" s="120"/>
      <c r="FF72" s="120"/>
      <c r="FG72" s="120"/>
      <c r="FH72" s="120"/>
      <c r="FI72" s="120"/>
      <c r="FJ72" s="120"/>
      <c r="FK72" s="120"/>
      <c r="FL72" s="120"/>
      <c r="FM72" s="120"/>
      <c r="FN72" s="120"/>
      <c r="FO72" s="120"/>
      <c r="FP72" s="120"/>
      <c r="FQ72" s="120"/>
      <c r="FR72" s="120"/>
      <c r="FS72" s="120"/>
      <c r="FT72" s="120"/>
      <c r="FU72" s="120"/>
      <c r="FV72" s="120"/>
      <c r="FW72" s="120"/>
      <c r="FX72" s="120"/>
      <c r="FY72" s="120"/>
      <c r="FZ72" s="120"/>
      <c r="GA72" s="120"/>
      <c r="GB72" s="120"/>
      <c r="GC72" s="120"/>
      <c r="GD72" s="120"/>
      <c r="GE72" s="120"/>
      <c r="GF72" s="120"/>
      <c r="GG72" s="120"/>
      <c r="GH72" s="120"/>
      <c r="GI72" s="120"/>
      <c r="GJ72" s="120"/>
      <c r="GK72" s="120"/>
      <c r="GL72" s="120"/>
      <c r="GM72" s="120"/>
      <c r="GN72" s="120"/>
      <c r="GO72" s="120"/>
      <c r="GP72" s="120"/>
      <c r="GQ72" s="120"/>
      <c r="GR72" s="120"/>
      <c r="GS72" s="120"/>
      <c r="GT72" s="120"/>
      <c r="GU72" s="120"/>
      <c r="GV72" s="120"/>
      <c r="GW72" s="120"/>
      <c r="GX72" s="120"/>
      <c r="GY72" s="120"/>
      <c r="GZ72" s="120"/>
      <c r="HA72" s="120"/>
      <c r="HB72" s="120"/>
      <c r="HC72" s="120"/>
      <c r="HD72" s="120"/>
      <c r="HE72" s="120"/>
      <c r="HF72" s="120"/>
      <c r="HG72" s="120"/>
      <c r="HH72" s="120"/>
      <c r="HI72" s="120"/>
      <c r="HJ72" s="120"/>
      <c r="HK72" s="120"/>
      <c r="HL72" s="120"/>
      <c r="HM72" s="120"/>
      <c r="HN72" s="120"/>
      <c r="HO72" s="120"/>
      <c r="HP72" s="120"/>
      <c r="HQ72" s="120"/>
      <c r="HR72" s="120"/>
      <c r="HS72" s="120"/>
      <c r="HT72" s="120"/>
      <c r="HU72" s="120"/>
      <c r="HV72" s="120"/>
      <c r="HW72" s="120"/>
      <c r="HX72" s="120"/>
      <c r="HY72" s="120"/>
      <c r="HZ72" s="120"/>
      <c r="IA72" s="120"/>
      <c r="IB72" s="120"/>
      <c r="IC72" s="120"/>
      <c r="ID72" s="120"/>
      <c r="IE72" s="120"/>
      <c r="IF72" s="120"/>
      <c r="IG72" s="120"/>
      <c r="IH72" s="120"/>
      <c r="II72" s="120"/>
      <c r="IJ72" s="120"/>
      <c r="IK72" s="120"/>
      <c r="IL72" s="120"/>
      <c r="IM72" s="120"/>
      <c r="IN72" s="120"/>
      <c r="IO72" s="120"/>
      <c r="IP72" s="120"/>
      <c r="IQ72" s="120"/>
      <c r="IR72" s="120"/>
      <c r="IS72" s="120"/>
      <c r="IT72" s="120"/>
      <c r="IU72" s="120"/>
      <c r="IV72" s="120"/>
      <c r="IW72" s="120"/>
      <c r="IX72" s="120"/>
      <c r="IY72" s="120"/>
      <c r="IZ72" s="120"/>
      <c r="JA72" s="120"/>
      <c r="JB72" s="120"/>
      <c r="JC72" s="120"/>
      <c r="JD72" s="120"/>
      <c r="JE72" s="120"/>
      <c r="JF72" s="120"/>
      <c r="JG72" s="120"/>
      <c r="JH72" s="120"/>
      <c r="JI72" s="120"/>
      <c r="JJ72" s="120"/>
      <c r="JK72" s="120"/>
      <c r="JL72" s="120"/>
      <c r="JM72" s="120"/>
      <c r="JN72" s="120"/>
    </row>
    <row r="73" spans="2:292" hidden="1">
      <c r="B73" s="195" t="str">
        <f>IF(I45&lt;0,"; however, resulting in losses of $",", resulting in gains of $")</f>
        <v>, resulting in gains of $</v>
      </c>
      <c r="C73" s="196">
        <f>ROUND(IF(I45&lt;0,(-I45),(I45)),2)</f>
        <v>6.21</v>
      </c>
      <c r="D73" s="197" t="s">
        <v>229</v>
      </c>
      <c r="E73" s="198">
        <f>ROUND(I45,2)</f>
        <v>6.21</v>
      </c>
      <c r="F73" s="183"/>
      <c r="G73" s="183"/>
      <c r="H73" s="183"/>
      <c r="I73" s="183"/>
      <c r="J73" s="183"/>
      <c r="K73" s="183"/>
      <c r="L73" s="183"/>
      <c r="M73" s="183"/>
      <c r="N73" s="183"/>
      <c r="O73" s="183"/>
      <c r="P73" s="121"/>
      <c r="Q73" s="121"/>
      <c r="R73" s="121"/>
      <c r="S73" s="248" t="s">
        <v>98</v>
      </c>
      <c r="T73" s="248"/>
      <c r="U73" s="157">
        <v>2.48</v>
      </c>
      <c r="V73" s="121"/>
      <c r="W73" s="158"/>
      <c r="X73" s="121"/>
      <c r="Y73" s="133" t="s">
        <v>5</v>
      </c>
      <c r="Z73" s="133" t="e">
        <f>0.0000306269361758696*(V66*V66)- 0.00966436147205444*V66+ 1.47675067863161</f>
        <v>#VALUE!</v>
      </c>
      <c r="AA73" s="127"/>
      <c r="AB73" s="121"/>
      <c r="AC73" s="121"/>
      <c r="AD73" s="121"/>
      <c r="AE73" s="121"/>
      <c r="AF73" s="121"/>
      <c r="AG73" s="121"/>
      <c r="BR73" s="120"/>
      <c r="BS73" s="120"/>
      <c r="BT73" s="120"/>
      <c r="BU73" s="120"/>
      <c r="BV73" s="120"/>
      <c r="BW73" s="120"/>
      <c r="BX73" s="120"/>
      <c r="BY73" s="120"/>
      <c r="BZ73" s="120"/>
      <c r="CA73" s="120"/>
      <c r="CB73" s="120"/>
      <c r="CC73" s="120"/>
      <c r="CD73" s="120"/>
      <c r="CE73" s="120"/>
      <c r="CF73" s="120"/>
      <c r="CG73" s="120"/>
      <c r="CH73" s="120"/>
      <c r="CI73" s="120"/>
      <c r="CJ73" s="120"/>
      <c r="CK73" s="120"/>
      <c r="CL73" s="120"/>
      <c r="CM73" s="120"/>
      <c r="CN73" s="120"/>
      <c r="CO73" s="120"/>
      <c r="CP73" s="120"/>
      <c r="CQ73" s="120"/>
      <c r="CR73" s="120"/>
      <c r="CS73" s="120"/>
      <c r="CT73" s="120"/>
      <c r="CU73" s="120"/>
      <c r="CV73" s="120"/>
      <c r="CW73" s="120"/>
      <c r="CX73" s="120"/>
      <c r="CY73" s="120"/>
      <c r="CZ73" s="120"/>
      <c r="DA73" s="120"/>
      <c r="DB73" s="120"/>
      <c r="DC73" s="120"/>
      <c r="DD73" s="120"/>
      <c r="DE73" s="120"/>
      <c r="DF73" s="120"/>
      <c r="DG73" s="120"/>
      <c r="DH73" s="120"/>
      <c r="DI73" s="120"/>
      <c r="DJ73" s="120"/>
      <c r="DK73" s="120"/>
      <c r="DL73" s="120"/>
      <c r="DM73" s="120"/>
      <c r="DN73" s="120"/>
      <c r="DO73" s="120"/>
      <c r="DP73" s="120"/>
      <c r="DQ73" s="120"/>
      <c r="DR73" s="120"/>
      <c r="DS73" s="120"/>
      <c r="DT73" s="120"/>
      <c r="DU73" s="120"/>
      <c r="DV73" s="120"/>
      <c r="DW73" s="120"/>
      <c r="DX73" s="120"/>
      <c r="DY73" s="120"/>
      <c r="DZ73" s="120"/>
      <c r="EA73" s="120"/>
      <c r="EB73" s="120"/>
      <c r="EC73" s="120"/>
      <c r="ED73" s="120"/>
      <c r="EE73" s="120"/>
      <c r="EF73" s="120"/>
      <c r="EG73" s="120"/>
      <c r="EH73" s="120"/>
      <c r="EI73" s="120"/>
      <c r="EJ73" s="120"/>
      <c r="EK73" s="120"/>
      <c r="EL73" s="120"/>
      <c r="EM73" s="120"/>
      <c r="EN73" s="120"/>
      <c r="EO73" s="120"/>
      <c r="EP73" s="120"/>
      <c r="EQ73" s="120"/>
      <c r="ER73" s="120"/>
      <c r="ES73" s="120"/>
      <c r="ET73" s="120"/>
      <c r="EU73" s="120"/>
      <c r="EV73" s="120"/>
      <c r="EW73" s="120"/>
      <c r="EX73" s="120"/>
      <c r="EY73" s="120"/>
      <c r="EZ73" s="120"/>
      <c r="FA73" s="120"/>
      <c r="FB73" s="120"/>
      <c r="FC73" s="120"/>
      <c r="FD73" s="120"/>
      <c r="FE73" s="120"/>
      <c r="FF73" s="120"/>
      <c r="FG73" s="120"/>
      <c r="FH73" s="120"/>
      <c r="FI73" s="120"/>
      <c r="FJ73" s="120"/>
      <c r="FK73" s="120"/>
      <c r="FL73" s="120"/>
      <c r="FM73" s="120"/>
      <c r="FN73" s="120"/>
      <c r="FO73" s="120"/>
      <c r="FP73" s="120"/>
      <c r="FQ73" s="120"/>
      <c r="FR73" s="120"/>
      <c r="FS73" s="120"/>
      <c r="FT73" s="120"/>
      <c r="FU73" s="120"/>
      <c r="FV73" s="120"/>
      <c r="FW73" s="120"/>
      <c r="FX73" s="120"/>
      <c r="FY73" s="120"/>
      <c r="FZ73" s="120"/>
      <c r="GA73" s="120"/>
      <c r="GB73" s="120"/>
      <c r="GC73" s="120"/>
      <c r="GD73" s="120"/>
      <c r="GE73" s="120"/>
      <c r="GF73" s="120"/>
      <c r="GG73" s="120"/>
      <c r="GH73" s="120"/>
      <c r="GI73" s="120"/>
      <c r="GJ73" s="120"/>
      <c r="GK73" s="120"/>
      <c r="GL73" s="120"/>
      <c r="GM73" s="120"/>
      <c r="GN73" s="120"/>
      <c r="GO73" s="120"/>
      <c r="GP73" s="120"/>
      <c r="GQ73" s="120"/>
      <c r="GR73" s="120"/>
      <c r="GS73" s="120"/>
      <c r="GT73" s="120"/>
      <c r="GU73" s="120"/>
      <c r="GV73" s="120"/>
      <c r="GW73" s="120"/>
      <c r="GX73" s="120"/>
      <c r="GY73" s="120"/>
      <c r="GZ73" s="120"/>
      <c r="HA73" s="120"/>
      <c r="HB73" s="120"/>
      <c r="HC73" s="120"/>
      <c r="HD73" s="120"/>
      <c r="HE73" s="120"/>
      <c r="HF73" s="120"/>
      <c r="HG73" s="120"/>
      <c r="HH73" s="120"/>
      <c r="HI73" s="120"/>
      <c r="HJ73" s="120"/>
      <c r="HK73" s="120"/>
      <c r="HL73" s="120"/>
      <c r="HM73" s="120"/>
      <c r="HN73" s="120"/>
      <c r="HO73" s="120"/>
      <c r="HP73" s="120"/>
      <c r="HQ73" s="120"/>
      <c r="HR73" s="120"/>
      <c r="HS73" s="120"/>
      <c r="HT73" s="120"/>
      <c r="HU73" s="120"/>
      <c r="HV73" s="120"/>
      <c r="HW73" s="120"/>
      <c r="HX73" s="120"/>
      <c r="HY73" s="120"/>
      <c r="HZ73" s="120"/>
      <c r="IA73" s="120"/>
      <c r="IB73" s="120"/>
      <c r="IC73" s="120"/>
      <c r="ID73" s="120"/>
      <c r="IE73" s="120"/>
      <c r="IF73" s="120"/>
      <c r="IG73" s="120"/>
      <c r="IH73" s="120"/>
      <c r="II73" s="120"/>
      <c r="IJ73" s="120"/>
      <c r="IK73" s="120"/>
      <c r="IL73" s="120"/>
      <c r="IM73" s="120"/>
      <c r="IN73" s="120"/>
      <c r="IO73" s="120"/>
      <c r="IP73" s="120"/>
      <c r="IQ73" s="120"/>
      <c r="IR73" s="120"/>
      <c r="IS73" s="120"/>
      <c r="IT73" s="120"/>
      <c r="IU73" s="120"/>
      <c r="IV73" s="120"/>
      <c r="IW73" s="120"/>
      <c r="IX73" s="120"/>
      <c r="IY73" s="120"/>
      <c r="IZ73" s="120"/>
      <c r="JA73" s="120"/>
      <c r="JB73" s="120"/>
      <c r="JC73" s="120"/>
      <c r="JD73" s="120"/>
      <c r="JE73" s="120"/>
      <c r="JF73" s="120"/>
      <c r="JG73" s="120"/>
      <c r="JH73" s="120"/>
      <c r="JI73" s="120"/>
      <c r="JJ73" s="120"/>
      <c r="JK73" s="120"/>
      <c r="JL73" s="120"/>
      <c r="JM73" s="120"/>
      <c r="JN73" s="120"/>
    </row>
    <row r="74" spans="2:292" hidden="1">
      <c r="B74" s="195" t="str">
        <f>IF(I47&lt;0,"; however, resulting in losses of $",", resulting in gains of $")</f>
        <v>, resulting in gains of $</v>
      </c>
      <c r="C74" s="196">
        <f>ROUND(IF(I47&lt;0,(-I47),(I47)),2)</f>
        <v>10.16</v>
      </c>
      <c r="D74" s="197" t="s">
        <v>229</v>
      </c>
      <c r="E74" s="198">
        <f>ROUND(I47,2)</f>
        <v>10.16</v>
      </c>
      <c r="F74" s="183"/>
      <c r="G74" s="183"/>
      <c r="H74" s="183"/>
      <c r="I74" s="183"/>
      <c r="J74" s="183"/>
      <c r="K74" s="183"/>
      <c r="L74" s="183"/>
      <c r="M74" s="183"/>
      <c r="N74" s="183"/>
      <c r="O74" s="183"/>
      <c r="P74" s="121"/>
      <c r="Q74" s="121"/>
      <c r="R74" s="121"/>
      <c r="S74" s="248" t="s">
        <v>98</v>
      </c>
      <c r="T74" s="248"/>
      <c r="U74" s="161">
        <v>1.7849999999999999</v>
      </c>
      <c r="V74" s="121"/>
      <c r="W74" s="158"/>
      <c r="X74" s="121"/>
      <c r="Y74" s="162"/>
      <c r="Z74" s="162"/>
      <c r="AA74" s="127"/>
      <c r="AB74" s="127"/>
      <c r="AC74" s="121"/>
      <c r="AD74" s="121"/>
      <c r="AE74" s="121"/>
      <c r="AF74" s="121"/>
      <c r="AG74" s="121"/>
      <c r="BR74" s="120"/>
      <c r="BS74" s="120"/>
      <c r="BT74" s="120"/>
      <c r="BU74" s="120"/>
      <c r="BV74" s="120"/>
      <c r="BW74" s="120"/>
      <c r="BX74" s="120"/>
      <c r="BY74" s="120"/>
      <c r="BZ74" s="120"/>
      <c r="CA74" s="120"/>
      <c r="CB74" s="120"/>
      <c r="CC74" s="120"/>
      <c r="CD74" s="120"/>
      <c r="CE74" s="120"/>
      <c r="CF74" s="120"/>
      <c r="CG74" s="120"/>
      <c r="CH74" s="120"/>
      <c r="CI74" s="120"/>
      <c r="CJ74" s="120"/>
      <c r="CK74" s="120"/>
      <c r="CL74" s="120"/>
      <c r="CM74" s="120"/>
      <c r="CN74" s="120"/>
      <c r="CO74" s="120"/>
      <c r="CP74" s="120"/>
      <c r="CQ74" s="120"/>
      <c r="CR74" s="120"/>
      <c r="CS74" s="120"/>
      <c r="CT74" s="120"/>
      <c r="CU74" s="120"/>
      <c r="CV74" s="120"/>
      <c r="CW74" s="120"/>
      <c r="CX74" s="120"/>
      <c r="CY74" s="120"/>
      <c r="CZ74" s="120"/>
      <c r="DA74" s="120"/>
      <c r="DB74" s="120"/>
      <c r="DC74" s="120"/>
      <c r="DD74" s="120"/>
      <c r="DE74" s="120"/>
      <c r="DF74" s="120"/>
      <c r="DG74" s="120"/>
      <c r="DH74" s="120"/>
      <c r="DI74" s="120"/>
      <c r="DJ74" s="120"/>
      <c r="DK74" s="120"/>
      <c r="DL74" s="120"/>
      <c r="DM74" s="120"/>
      <c r="DN74" s="120"/>
      <c r="DO74" s="120"/>
      <c r="DP74" s="120"/>
      <c r="DQ74" s="120"/>
      <c r="DR74" s="120"/>
      <c r="DS74" s="120"/>
      <c r="DT74" s="120"/>
      <c r="DU74" s="120"/>
      <c r="DV74" s="120"/>
      <c r="DW74" s="120"/>
      <c r="DX74" s="120"/>
      <c r="DY74" s="120"/>
      <c r="DZ74" s="120"/>
      <c r="EA74" s="120"/>
      <c r="EB74" s="120"/>
      <c r="EC74" s="120"/>
      <c r="ED74" s="120"/>
      <c r="EE74" s="120"/>
      <c r="EF74" s="120"/>
      <c r="EG74" s="120"/>
      <c r="EH74" s="120"/>
      <c r="EI74" s="120"/>
      <c r="EJ74" s="120"/>
      <c r="EK74" s="120"/>
      <c r="EL74" s="120"/>
      <c r="EM74" s="120"/>
      <c r="EN74" s="120"/>
      <c r="EO74" s="120"/>
      <c r="EP74" s="120"/>
      <c r="EQ74" s="120"/>
      <c r="ER74" s="120"/>
      <c r="ES74" s="120"/>
      <c r="ET74" s="120"/>
      <c r="EU74" s="120"/>
      <c r="EV74" s="120"/>
      <c r="EW74" s="120"/>
      <c r="EX74" s="120"/>
      <c r="EY74" s="120"/>
      <c r="EZ74" s="120"/>
      <c r="FA74" s="120"/>
      <c r="FB74" s="120"/>
      <c r="FC74" s="120"/>
      <c r="FD74" s="120"/>
      <c r="FE74" s="120"/>
      <c r="FF74" s="120"/>
      <c r="FG74" s="120"/>
      <c r="FH74" s="120"/>
      <c r="FI74" s="120"/>
      <c r="FJ74" s="120"/>
      <c r="FK74" s="120"/>
      <c r="FL74" s="120"/>
      <c r="FM74" s="120"/>
      <c r="FN74" s="120"/>
      <c r="FO74" s="120"/>
      <c r="FP74" s="120"/>
      <c r="FQ74" s="120"/>
      <c r="FR74" s="120"/>
      <c r="FS74" s="120"/>
      <c r="FT74" s="120"/>
      <c r="FU74" s="120"/>
      <c r="FV74" s="120"/>
      <c r="FW74" s="120"/>
      <c r="FX74" s="120"/>
      <c r="FY74" s="120"/>
      <c r="FZ74" s="120"/>
      <c r="GA74" s="120"/>
      <c r="GB74" s="120"/>
      <c r="GC74" s="120"/>
      <c r="GD74" s="120"/>
      <c r="GE74" s="120"/>
      <c r="GF74" s="120"/>
      <c r="GG74" s="120"/>
      <c r="GH74" s="120"/>
      <c r="GI74" s="120"/>
      <c r="GJ74" s="120"/>
      <c r="GK74" s="120"/>
      <c r="GL74" s="120"/>
      <c r="GM74" s="120"/>
      <c r="GN74" s="120"/>
      <c r="GO74" s="120"/>
      <c r="GP74" s="120"/>
      <c r="GQ74" s="120"/>
      <c r="GR74" s="120"/>
      <c r="GS74" s="120"/>
      <c r="GT74" s="120"/>
      <c r="GU74" s="120"/>
      <c r="GV74" s="120"/>
      <c r="GW74" s="120"/>
      <c r="GX74" s="120"/>
      <c r="GY74" s="120"/>
      <c r="GZ74" s="120"/>
      <c r="HA74" s="120"/>
      <c r="HB74" s="120"/>
      <c r="HC74" s="120"/>
      <c r="HD74" s="120"/>
      <c r="HE74" s="120"/>
      <c r="HF74" s="120"/>
      <c r="HG74" s="120"/>
      <c r="HH74" s="120"/>
      <c r="HI74" s="120"/>
      <c r="HJ74" s="120"/>
      <c r="HK74" s="120"/>
      <c r="HL74" s="120"/>
      <c r="HM74" s="120"/>
      <c r="HN74" s="120"/>
      <c r="HO74" s="120"/>
      <c r="HP74" s="120"/>
      <c r="HQ74" s="120"/>
      <c r="HR74" s="120"/>
      <c r="HS74" s="120"/>
      <c r="HT74" s="120"/>
      <c r="HU74" s="120"/>
      <c r="HV74" s="120"/>
      <c r="HW74" s="120"/>
      <c r="HX74" s="120"/>
      <c r="HY74" s="120"/>
      <c r="HZ74" s="120"/>
      <c r="IA74" s="120"/>
      <c r="IB74" s="120"/>
      <c r="IC74" s="120"/>
      <c r="ID74" s="120"/>
      <c r="IE74" s="120"/>
      <c r="IF74" s="120"/>
      <c r="IG74" s="120"/>
      <c r="IH74" s="120"/>
      <c r="II74" s="120"/>
      <c r="IJ74" s="120"/>
      <c r="IK74" s="120"/>
      <c r="IL74" s="120"/>
      <c r="IM74" s="120"/>
      <c r="IN74" s="120"/>
      <c r="IO74" s="120"/>
      <c r="IP74" s="120"/>
      <c r="IQ74" s="120"/>
      <c r="IR74" s="120"/>
      <c r="IS74" s="120"/>
      <c r="IT74" s="120"/>
      <c r="IU74" s="120"/>
      <c r="IV74" s="120"/>
      <c r="IW74" s="120"/>
      <c r="IX74" s="120"/>
      <c r="IY74" s="120"/>
      <c r="IZ74" s="120"/>
      <c r="JA74" s="120"/>
      <c r="JB74" s="120"/>
      <c r="JC74" s="120"/>
      <c r="JD74" s="120"/>
      <c r="JE74" s="120"/>
      <c r="JF74" s="120"/>
      <c r="JG74" s="120"/>
      <c r="JH74" s="120"/>
      <c r="JI74" s="120"/>
      <c r="JJ74" s="120"/>
      <c r="JK74" s="120"/>
      <c r="JL74" s="120"/>
      <c r="JM74" s="120"/>
      <c r="JN74" s="120"/>
    </row>
    <row r="75" spans="2:292" hidden="1">
      <c r="B75" s="195" t="str">
        <f>IF(E73&lt;0,"In this scenario, it isn't economical to feed PIC STTD phosphorus biological levels.",IF(E73&gt;0,"In this scenario, it is economical to feed PIC STTD phosphorus biological levels.","In this scenario, feed the current STTD phosphorus levels or the biological STTD phosphorus levels do not differ in economics."))</f>
        <v>In this scenario, it is economical to feed PIC STTD phosphorus biological levels.</v>
      </c>
      <c r="C75" s="197"/>
      <c r="D75" s="197"/>
      <c r="E75" s="197"/>
      <c r="F75" s="183"/>
      <c r="G75" s="183"/>
      <c r="H75" s="183"/>
      <c r="I75" s="183"/>
      <c r="J75" s="183"/>
      <c r="K75" s="183"/>
      <c r="L75" s="183"/>
      <c r="M75" s="183"/>
      <c r="N75" s="183"/>
      <c r="O75" s="183"/>
      <c r="P75" s="121"/>
      <c r="Q75" s="121"/>
      <c r="R75" s="121"/>
      <c r="S75" s="121"/>
      <c r="T75" s="121"/>
      <c r="U75" s="121"/>
      <c r="V75" s="121"/>
      <c r="W75" s="158"/>
      <c r="X75" s="121"/>
      <c r="Y75" s="127"/>
      <c r="Z75" s="127"/>
      <c r="AA75" s="127"/>
      <c r="AB75" s="127"/>
      <c r="AC75" s="121"/>
      <c r="AD75" s="121"/>
      <c r="AE75" s="121"/>
      <c r="AF75" s="121"/>
      <c r="AG75" s="121"/>
      <c r="BR75" s="120"/>
      <c r="BS75" s="120"/>
      <c r="BT75" s="120"/>
      <c r="BU75" s="120"/>
      <c r="BV75" s="120"/>
      <c r="BW75" s="120"/>
      <c r="BX75" s="120"/>
      <c r="BY75" s="120"/>
      <c r="BZ75" s="120"/>
      <c r="CA75" s="120"/>
      <c r="CB75" s="120"/>
      <c r="CC75" s="120"/>
      <c r="CD75" s="120"/>
      <c r="CE75" s="120"/>
      <c r="CF75" s="120"/>
      <c r="CG75" s="120"/>
      <c r="CH75" s="120"/>
      <c r="CI75" s="120"/>
      <c r="CJ75" s="120"/>
      <c r="CK75" s="120"/>
      <c r="CL75" s="120"/>
      <c r="CM75" s="120"/>
      <c r="CN75" s="120"/>
      <c r="CO75" s="120"/>
      <c r="CP75" s="120"/>
      <c r="CQ75" s="120"/>
      <c r="CR75" s="120"/>
      <c r="CS75" s="120"/>
      <c r="CT75" s="120"/>
      <c r="CU75" s="120"/>
      <c r="CV75" s="120"/>
      <c r="CW75" s="120"/>
      <c r="CX75" s="120"/>
      <c r="CY75" s="120"/>
      <c r="CZ75" s="120"/>
      <c r="DA75" s="120"/>
      <c r="DB75" s="120"/>
      <c r="DC75" s="120"/>
      <c r="DD75" s="120"/>
      <c r="DE75" s="120"/>
      <c r="DF75" s="120"/>
      <c r="DG75" s="120"/>
      <c r="DH75" s="120"/>
      <c r="DI75" s="120"/>
      <c r="DJ75" s="120"/>
      <c r="DK75" s="120"/>
      <c r="DL75" s="120"/>
      <c r="DM75" s="120"/>
      <c r="DN75" s="120"/>
      <c r="DO75" s="120"/>
      <c r="DP75" s="120"/>
      <c r="DQ75" s="120"/>
      <c r="DR75" s="120"/>
      <c r="DS75" s="120"/>
      <c r="DT75" s="120"/>
      <c r="DU75" s="120"/>
      <c r="DV75" s="120"/>
      <c r="DW75" s="120"/>
      <c r="DX75" s="120"/>
      <c r="DY75" s="120"/>
      <c r="DZ75" s="120"/>
      <c r="EA75" s="120"/>
      <c r="EB75" s="120"/>
      <c r="EC75" s="120"/>
      <c r="ED75" s="120"/>
      <c r="EE75" s="120"/>
      <c r="EF75" s="120"/>
      <c r="EG75" s="120"/>
      <c r="EH75" s="120"/>
      <c r="EI75" s="120"/>
      <c r="EJ75" s="120"/>
      <c r="EK75" s="120"/>
      <c r="EL75" s="120"/>
      <c r="EM75" s="120"/>
      <c r="EN75" s="120"/>
      <c r="EO75" s="120"/>
      <c r="EP75" s="120"/>
      <c r="EQ75" s="120"/>
      <c r="ER75" s="120"/>
      <c r="ES75" s="120"/>
      <c r="ET75" s="120"/>
      <c r="EU75" s="120"/>
      <c r="EV75" s="120"/>
      <c r="EW75" s="120"/>
      <c r="EX75" s="120"/>
      <c r="EY75" s="120"/>
      <c r="EZ75" s="120"/>
      <c r="FA75" s="120"/>
      <c r="FB75" s="120"/>
      <c r="FC75" s="120"/>
      <c r="FD75" s="120"/>
      <c r="FE75" s="120"/>
      <c r="FF75" s="120"/>
      <c r="FG75" s="120"/>
      <c r="FH75" s="120"/>
      <c r="FI75" s="120"/>
      <c r="FJ75" s="120"/>
      <c r="FK75" s="120"/>
      <c r="FL75" s="120"/>
      <c r="FM75" s="120"/>
      <c r="FN75" s="120"/>
      <c r="FO75" s="120"/>
      <c r="FP75" s="120"/>
      <c r="FQ75" s="120"/>
      <c r="FR75" s="120"/>
      <c r="FS75" s="120"/>
      <c r="FT75" s="120"/>
      <c r="FU75" s="120"/>
      <c r="FV75" s="120"/>
      <c r="FW75" s="120"/>
      <c r="FX75" s="120"/>
      <c r="FY75" s="120"/>
      <c r="FZ75" s="120"/>
      <c r="GA75" s="120"/>
      <c r="GB75" s="120"/>
      <c r="GC75" s="120"/>
      <c r="GD75" s="120"/>
      <c r="GE75" s="120"/>
      <c r="GF75" s="120"/>
      <c r="GG75" s="120"/>
      <c r="GH75" s="120"/>
      <c r="GI75" s="120"/>
      <c r="GJ75" s="120"/>
      <c r="GK75" s="120"/>
      <c r="GL75" s="120"/>
      <c r="GM75" s="120"/>
      <c r="GN75" s="120"/>
      <c r="GO75" s="120"/>
      <c r="GP75" s="120"/>
      <c r="GQ75" s="120"/>
      <c r="GR75" s="120"/>
      <c r="GS75" s="120"/>
      <c r="GT75" s="120"/>
      <c r="GU75" s="120"/>
      <c r="GV75" s="120"/>
      <c r="GW75" s="120"/>
      <c r="GX75" s="120"/>
      <c r="GY75" s="120"/>
      <c r="GZ75" s="120"/>
      <c r="HA75" s="120"/>
      <c r="HB75" s="120"/>
      <c r="HC75" s="120"/>
      <c r="HD75" s="120"/>
      <c r="HE75" s="120"/>
      <c r="HF75" s="120"/>
      <c r="HG75" s="120"/>
      <c r="HH75" s="120"/>
      <c r="HI75" s="120"/>
      <c r="HJ75" s="120"/>
      <c r="HK75" s="120"/>
      <c r="HL75" s="120"/>
      <c r="HM75" s="120"/>
      <c r="HN75" s="120"/>
      <c r="HO75" s="120"/>
      <c r="HP75" s="120"/>
      <c r="HQ75" s="120"/>
      <c r="HR75" s="120"/>
      <c r="HS75" s="120"/>
      <c r="HT75" s="120"/>
      <c r="HU75" s="120"/>
      <c r="HV75" s="120"/>
      <c r="HW75" s="120"/>
      <c r="HX75" s="120"/>
      <c r="HY75" s="120"/>
      <c r="HZ75" s="120"/>
      <c r="IA75" s="120"/>
      <c r="IB75" s="120"/>
      <c r="IC75" s="120"/>
      <c r="ID75" s="120"/>
      <c r="IE75" s="120"/>
      <c r="IF75" s="120"/>
      <c r="IG75" s="120"/>
      <c r="IH75" s="120"/>
      <c r="II75" s="120"/>
      <c r="IJ75" s="120"/>
      <c r="IK75" s="120"/>
      <c r="IL75" s="120"/>
      <c r="IM75" s="120"/>
      <c r="IN75" s="120"/>
      <c r="IO75" s="120"/>
      <c r="IP75" s="120"/>
      <c r="IQ75" s="120"/>
      <c r="IR75" s="120"/>
      <c r="IS75" s="120"/>
      <c r="IT75" s="120"/>
      <c r="IU75" s="120"/>
      <c r="IV75" s="120"/>
      <c r="IW75" s="120"/>
      <c r="IX75" s="120"/>
      <c r="IY75" s="120"/>
      <c r="IZ75" s="120"/>
      <c r="JA75" s="120"/>
      <c r="JB75" s="120"/>
      <c r="JC75" s="120"/>
      <c r="JD75" s="120"/>
      <c r="JE75" s="120"/>
      <c r="JF75" s="120"/>
      <c r="JG75" s="120"/>
      <c r="JH75" s="120"/>
      <c r="JI75" s="120"/>
      <c r="JJ75" s="120"/>
      <c r="JK75" s="120"/>
      <c r="JL75" s="120"/>
      <c r="JM75" s="120"/>
      <c r="JN75" s="120"/>
    </row>
    <row r="76" spans="2:292" hidden="1">
      <c r="B76" s="195" t="str">
        <f>IF(E74&lt;0,"In this scenario, it isn't economical to feed PIC STTD phosphorus biological levels.",IF(E74&gt;0,"In this scenario, it is economical to feed PIC STTD phosphorus biological levels.","In this scenario, feed the current STTD phosphorus levels or the biological STTD phosphorus do not differ in economics."))</f>
        <v>In this scenario, it is economical to feed PIC STTD phosphorus biological levels.</v>
      </c>
      <c r="C76" s="197"/>
      <c r="D76" s="197"/>
      <c r="E76" s="197"/>
      <c r="F76" s="183"/>
      <c r="G76" s="183"/>
      <c r="H76" s="183"/>
      <c r="I76" s="183"/>
      <c r="J76" s="183"/>
      <c r="K76" s="183"/>
      <c r="L76" s="183"/>
      <c r="M76" s="183"/>
      <c r="N76" s="183"/>
      <c r="O76" s="183"/>
      <c r="P76" s="121"/>
      <c r="Q76" s="121"/>
      <c r="R76" s="121"/>
      <c r="S76" s="121"/>
      <c r="T76" s="121"/>
      <c r="U76" s="121"/>
      <c r="V76" s="121"/>
      <c r="W76" s="158"/>
      <c r="X76" s="121"/>
      <c r="Y76" s="127"/>
      <c r="Z76" s="127"/>
      <c r="AA76" s="127"/>
      <c r="AB76" s="127"/>
      <c r="AC76" s="121"/>
      <c r="AD76" s="121"/>
      <c r="AE76" s="121"/>
      <c r="AF76" s="121"/>
      <c r="AG76" s="121"/>
      <c r="BR76" s="120"/>
      <c r="BS76" s="120"/>
      <c r="BT76" s="120"/>
      <c r="BU76" s="120"/>
      <c r="BV76" s="120"/>
      <c r="BW76" s="120"/>
      <c r="BX76" s="120"/>
      <c r="BY76" s="120"/>
      <c r="BZ76" s="120"/>
      <c r="CA76" s="120"/>
      <c r="CB76" s="120"/>
      <c r="CC76" s="120"/>
      <c r="CD76" s="120"/>
      <c r="CE76" s="120"/>
      <c r="CF76" s="120"/>
      <c r="CG76" s="120"/>
      <c r="CH76" s="120"/>
      <c r="CI76" s="120"/>
      <c r="CJ76" s="120"/>
      <c r="CK76" s="120"/>
      <c r="CL76" s="120"/>
      <c r="CM76" s="120"/>
      <c r="CN76" s="120"/>
      <c r="CO76" s="120"/>
      <c r="CP76" s="120"/>
      <c r="CQ76" s="120"/>
      <c r="CR76" s="120"/>
      <c r="CS76" s="120"/>
      <c r="CT76" s="120"/>
      <c r="CU76" s="120"/>
      <c r="CV76" s="120"/>
      <c r="CW76" s="120"/>
      <c r="CX76" s="120"/>
      <c r="CY76" s="120"/>
      <c r="CZ76" s="120"/>
      <c r="DA76" s="120"/>
      <c r="DB76" s="120"/>
      <c r="DC76" s="120"/>
      <c r="DD76" s="120"/>
      <c r="DE76" s="120"/>
      <c r="DF76" s="120"/>
      <c r="DG76" s="120"/>
      <c r="DH76" s="120"/>
      <c r="DI76" s="120"/>
      <c r="DJ76" s="120"/>
      <c r="DK76" s="120"/>
      <c r="DL76" s="120"/>
      <c r="DM76" s="120"/>
      <c r="DN76" s="120"/>
      <c r="DO76" s="120"/>
      <c r="DP76" s="120"/>
      <c r="DQ76" s="120"/>
      <c r="DR76" s="120"/>
      <c r="DS76" s="120"/>
      <c r="DT76" s="120"/>
      <c r="DU76" s="120"/>
      <c r="DV76" s="120"/>
      <c r="DW76" s="120"/>
      <c r="DX76" s="120"/>
      <c r="DY76" s="120"/>
      <c r="DZ76" s="120"/>
      <c r="EA76" s="120"/>
      <c r="EB76" s="120"/>
      <c r="EC76" s="120"/>
      <c r="ED76" s="120"/>
      <c r="EE76" s="120"/>
      <c r="EF76" s="120"/>
      <c r="EG76" s="120"/>
      <c r="EH76" s="120"/>
      <c r="EI76" s="120"/>
      <c r="EJ76" s="120"/>
      <c r="EK76" s="120"/>
      <c r="EL76" s="120"/>
      <c r="EM76" s="120"/>
      <c r="EN76" s="120"/>
      <c r="EO76" s="120"/>
      <c r="EP76" s="120"/>
      <c r="EQ76" s="120"/>
      <c r="ER76" s="120"/>
      <c r="ES76" s="120"/>
      <c r="ET76" s="120"/>
      <c r="EU76" s="120"/>
      <c r="EV76" s="120"/>
      <c r="EW76" s="120"/>
      <c r="EX76" s="120"/>
      <c r="EY76" s="120"/>
      <c r="EZ76" s="120"/>
      <c r="FA76" s="120"/>
      <c r="FB76" s="120"/>
      <c r="FC76" s="120"/>
      <c r="FD76" s="120"/>
      <c r="FE76" s="120"/>
      <c r="FF76" s="120"/>
      <c r="FG76" s="120"/>
      <c r="FH76" s="120"/>
      <c r="FI76" s="120"/>
      <c r="FJ76" s="120"/>
      <c r="FK76" s="120"/>
      <c r="FL76" s="120"/>
      <c r="FM76" s="120"/>
      <c r="FN76" s="120"/>
      <c r="FO76" s="120"/>
      <c r="FP76" s="120"/>
      <c r="FQ76" s="120"/>
      <c r="FR76" s="120"/>
      <c r="FS76" s="120"/>
      <c r="FT76" s="120"/>
      <c r="FU76" s="120"/>
      <c r="FV76" s="120"/>
      <c r="FW76" s="120"/>
      <c r="FX76" s="120"/>
      <c r="FY76" s="120"/>
      <c r="FZ76" s="120"/>
      <c r="GA76" s="120"/>
      <c r="GB76" s="120"/>
      <c r="GC76" s="120"/>
      <c r="GD76" s="120"/>
      <c r="GE76" s="120"/>
      <c r="GF76" s="120"/>
      <c r="GG76" s="120"/>
      <c r="GH76" s="120"/>
      <c r="GI76" s="120"/>
      <c r="GJ76" s="120"/>
      <c r="GK76" s="120"/>
      <c r="GL76" s="120"/>
      <c r="GM76" s="120"/>
      <c r="GN76" s="120"/>
      <c r="GO76" s="120"/>
      <c r="GP76" s="120"/>
      <c r="GQ76" s="120"/>
      <c r="GR76" s="120"/>
      <c r="GS76" s="120"/>
      <c r="GT76" s="120"/>
      <c r="GU76" s="120"/>
      <c r="GV76" s="120"/>
      <c r="GW76" s="120"/>
      <c r="GX76" s="120"/>
      <c r="GY76" s="120"/>
      <c r="GZ76" s="120"/>
      <c r="HA76" s="120"/>
      <c r="HB76" s="120"/>
      <c r="HC76" s="120"/>
      <c r="HD76" s="120"/>
      <c r="HE76" s="120"/>
      <c r="HF76" s="120"/>
      <c r="HG76" s="120"/>
      <c r="HH76" s="120"/>
      <c r="HI76" s="120"/>
      <c r="HJ76" s="120"/>
      <c r="HK76" s="120"/>
      <c r="HL76" s="120"/>
      <c r="HM76" s="120"/>
      <c r="HN76" s="120"/>
      <c r="HO76" s="120"/>
      <c r="HP76" s="120"/>
      <c r="HQ76" s="120"/>
      <c r="HR76" s="120"/>
      <c r="HS76" s="120"/>
      <c r="HT76" s="120"/>
      <c r="HU76" s="120"/>
      <c r="HV76" s="120"/>
      <c r="HW76" s="120"/>
      <c r="HX76" s="120"/>
      <c r="HY76" s="120"/>
      <c r="HZ76" s="120"/>
      <c r="IA76" s="120"/>
      <c r="IB76" s="120"/>
      <c r="IC76" s="120"/>
      <c r="ID76" s="120"/>
      <c r="IE76" s="120"/>
      <c r="IF76" s="120"/>
      <c r="IG76" s="120"/>
      <c r="IH76" s="120"/>
      <c r="II76" s="120"/>
      <c r="IJ76" s="120"/>
      <c r="IK76" s="120"/>
      <c r="IL76" s="120"/>
      <c r="IM76" s="120"/>
      <c r="IN76" s="120"/>
      <c r="IO76" s="120"/>
      <c r="IP76" s="120"/>
      <c r="IQ76" s="120"/>
      <c r="IR76" s="120"/>
      <c r="IS76" s="120"/>
      <c r="IT76" s="120"/>
      <c r="IU76" s="120"/>
      <c r="IV76" s="120"/>
      <c r="IW76" s="120"/>
      <c r="IX76" s="120"/>
      <c r="IY76" s="120"/>
      <c r="IZ76" s="120"/>
      <c r="JA76" s="120"/>
      <c r="JB76" s="120"/>
      <c r="JC76" s="120"/>
      <c r="JD76" s="120"/>
      <c r="JE76" s="120"/>
      <c r="JF76" s="120"/>
      <c r="JG76" s="120"/>
      <c r="JH76" s="120"/>
      <c r="JI76" s="120"/>
      <c r="JJ76" s="120"/>
      <c r="JK76" s="120"/>
      <c r="JL76" s="120"/>
      <c r="JM76" s="120"/>
      <c r="JN76" s="120"/>
    </row>
    <row r="77" spans="2:292" ht="16.5" hidden="1" thickBot="1">
      <c r="B77" s="183"/>
      <c r="C77" s="183"/>
      <c r="D77" s="183"/>
      <c r="E77" s="183"/>
      <c r="F77" s="183"/>
      <c r="G77" s="183"/>
      <c r="H77" s="183"/>
      <c r="I77" s="183"/>
      <c r="J77" s="183"/>
      <c r="K77" s="183"/>
      <c r="L77" s="183"/>
      <c r="M77" s="183"/>
      <c r="N77" s="183"/>
      <c r="O77" s="183"/>
      <c r="P77" s="121"/>
      <c r="Q77" s="121"/>
      <c r="R77" s="121"/>
      <c r="S77" s="121"/>
      <c r="T77" s="121"/>
      <c r="U77" s="121"/>
      <c r="V77" s="121"/>
      <c r="W77" s="121"/>
      <c r="X77" s="121"/>
      <c r="Y77" s="127"/>
      <c r="Z77" s="127"/>
      <c r="AA77" s="127"/>
      <c r="AB77" s="127"/>
      <c r="AC77" s="121"/>
      <c r="AD77" s="121"/>
      <c r="AE77" s="121"/>
      <c r="AF77" s="121"/>
      <c r="AG77" s="121"/>
      <c r="BR77" s="120"/>
      <c r="BS77" s="120"/>
      <c r="BT77" s="120"/>
      <c r="BU77" s="120"/>
      <c r="BV77" s="120"/>
      <c r="BW77" s="120"/>
      <c r="BX77" s="120"/>
      <c r="BY77" s="120"/>
      <c r="BZ77" s="120"/>
      <c r="CA77" s="120"/>
      <c r="CB77" s="120"/>
      <c r="CC77" s="120"/>
      <c r="CD77" s="120"/>
      <c r="CE77" s="120"/>
      <c r="CF77" s="120"/>
      <c r="CG77" s="120"/>
      <c r="CH77" s="120"/>
      <c r="CI77" s="120"/>
      <c r="CJ77" s="120"/>
      <c r="CK77" s="120"/>
      <c r="CL77" s="120"/>
      <c r="CM77" s="120"/>
      <c r="CN77" s="120"/>
      <c r="CO77" s="120"/>
      <c r="CP77" s="120"/>
      <c r="CQ77" s="120"/>
      <c r="CR77" s="120"/>
      <c r="CS77" s="120"/>
      <c r="CT77" s="120"/>
      <c r="CU77" s="120"/>
      <c r="CV77" s="120"/>
      <c r="CW77" s="120"/>
      <c r="CX77" s="120"/>
      <c r="CY77" s="120"/>
      <c r="CZ77" s="120"/>
      <c r="DA77" s="120"/>
      <c r="DB77" s="120"/>
      <c r="DC77" s="120"/>
      <c r="DD77" s="120"/>
      <c r="DE77" s="120"/>
      <c r="DF77" s="120"/>
      <c r="DG77" s="120"/>
      <c r="DH77" s="120"/>
      <c r="DI77" s="120"/>
      <c r="DJ77" s="120"/>
      <c r="DK77" s="120"/>
      <c r="DL77" s="120"/>
      <c r="DM77" s="120"/>
      <c r="DN77" s="120"/>
      <c r="DO77" s="120"/>
      <c r="DP77" s="120"/>
      <c r="DQ77" s="120"/>
      <c r="DR77" s="120"/>
      <c r="DS77" s="120"/>
      <c r="DT77" s="120"/>
      <c r="DU77" s="120"/>
      <c r="DV77" s="120"/>
      <c r="DW77" s="120"/>
      <c r="DX77" s="120"/>
      <c r="DY77" s="120"/>
      <c r="DZ77" s="120"/>
      <c r="EA77" s="120"/>
      <c r="EB77" s="120"/>
      <c r="EC77" s="120"/>
      <c r="ED77" s="120"/>
      <c r="EE77" s="120"/>
      <c r="EF77" s="120"/>
      <c r="EG77" s="120"/>
      <c r="EH77" s="120"/>
      <c r="EI77" s="120"/>
      <c r="EJ77" s="120"/>
      <c r="EK77" s="120"/>
      <c r="EL77" s="120"/>
      <c r="EM77" s="120"/>
      <c r="EN77" s="120"/>
      <c r="EO77" s="120"/>
      <c r="EP77" s="120"/>
      <c r="EQ77" s="120"/>
      <c r="ER77" s="120"/>
      <c r="ES77" s="120"/>
      <c r="ET77" s="120"/>
      <c r="EU77" s="120"/>
      <c r="EV77" s="120"/>
      <c r="EW77" s="120"/>
      <c r="EX77" s="120"/>
      <c r="EY77" s="120"/>
      <c r="EZ77" s="120"/>
      <c r="FA77" s="120"/>
      <c r="FB77" s="120"/>
      <c r="FC77" s="120"/>
      <c r="FD77" s="120"/>
      <c r="FE77" s="120"/>
      <c r="FF77" s="120"/>
      <c r="FG77" s="120"/>
      <c r="FH77" s="120"/>
      <c r="FI77" s="120"/>
      <c r="FJ77" s="120"/>
      <c r="FK77" s="120"/>
      <c r="FL77" s="120"/>
      <c r="FM77" s="120"/>
      <c r="FN77" s="120"/>
      <c r="FO77" s="120"/>
      <c r="FP77" s="120"/>
      <c r="FQ77" s="120"/>
      <c r="FR77" s="120"/>
      <c r="FS77" s="120"/>
      <c r="FT77" s="120"/>
      <c r="FU77" s="120"/>
      <c r="FV77" s="120"/>
      <c r="FW77" s="120"/>
      <c r="FX77" s="120"/>
      <c r="FY77" s="120"/>
      <c r="FZ77" s="120"/>
      <c r="GA77" s="120"/>
      <c r="GB77" s="120"/>
      <c r="GC77" s="120"/>
      <c r="GD77" s="120"/>
      <c r="GE77" s="120"/>
      <c r="GF77" s="120"/>
      <c r="GG77" s="120"/>
      <c r="GH77" s="120"/>
      <c r="GI77" s="120"/>
      <c r="GJ77" s="120"/>
      <c r="GK77" s="120"/>
      <c r="GL77" s="120"/>
      <c r="GM77" s="120"/>
      <c r="GN77" s="120"/>
      <c r="GO77" s="120"/>
      <c r="GP77" s="120"/>
      <c r="GQ77" s="120"/>
      <c r="GR77" s="120"/>
      <c r="GS77" s="120"/>
      <c r="GT77" s="120"/>
      <c r="GU77" s="120"/>
      <c r="GV77" s="120"/>
      <c r="GW77" s="120"/>
      <c r="GX77" s="120"/>
      <c r="GY77" s="120"/>
      <c r="GZ77" s="120"/>
      <c r="HA77" s="120"/>
      <c r="HB77" s="120"/>
      <c r="HC77" s="120"/>
      <c r="HD77" s="120"/>
      <c r="HE77" s="120"/>
      <c r="HF77" s="120"/>
      <c r="HG77" s="120"/>
      <c r="HH77" s="120"/>
      <c r="HI77" s="120"/>
      <c r="HJ77" s="120"/>
      <c r="HK77" s="120"/>
      <c r="HL77" s="120"/>
      <c r="HM77" s="120"/>
      <c r="HN77" s="120"/>
      <c r="HO77" s="120"/>
      <c r="HP77" s="120"/>
      <c r="HQ77" s="120"/>
      <c r="HR77" s="120"/>
      <c r="HS77" s="120"/>
      <c r="HT77" s="120"/>
      <c r="HU77" s="120"/>
      <c r="HV77" s="120"/>
      <c r="HW77" s="120"/>
      <c r="HX77" s="120"/>
      <c r="HY77" s="120"/>
      <c r="HZ77" s="120"/>
      <c r="IA77" s="120"/>
      <c r="IB77" s="120"/>
      <c r="IC77" s="120"/>
      <c r="ID77" s="120"/>
      <c r="IE77" s="120"/>
      <c r="IF77" s="120"/>
      <c r="IG77" s="120"/>
      <c r="IH77" s="120"/>
      <c r="II77" s="120"/>
      <c r="IJ77" s="120"/>
      <c r="IK77" s="120"/>
      <c r="IL77" s="120"/>
      <c r="IM77" s="120"/>
      <c r="IN77" s="120"/>
      <c r="IO77" s="120"/>
      <c r="IP77" s="120"/>
      <c r="IQ77" s="120"/>
      <c r="IR77" s="120"/>
      <c r="IS77" s="120"/>
      <c r="IT77" s="120"/>
      <c r="IU77" s="120"/>
      <c r="IV77" s="120"/>
      <c r="IW77" s="120"/>
      <c r="IX77" s="120"/>
      <c r="IY77" s="120"/>
      <c r="IZ77" s="120"/>
      <c r="JA77" s="120"/>
      <c r="JB77" s="120"/>
      <c r="JC77" s="120"/>
      <c r="JD77" s="120"/>
      <c r="JE77" s="120"/>
      <c r="JF77" s="120"/>
      <c r="JG77" s="120"/>
      <c r="JH77" s="120"/>
      <c r="JI77" s="120"/>
      <c r="JJ77" s="120"/>
      <c r="JK77" s="120"/>
      <c r="JL77" s="120"/>
      <c r="JM77" s="120"/>
      <c r="JN77" s="120"/>
    </row>
    <row r="78" spans="2:292" hidden="1">
      <c r="B78" s="199">
        <f t="shared" ref="B78:C83" si="8">C15</f>
        <v>23</v>
      </c>
      <c r="C78" s="200">
        <f t="shared" si="8"/>
        <v>41</v>
      </c>
      <c r="D78" s="201">
        <f>IF(C78=0,0,1)</f>
        <v>1</v>
      </c>
      <c r="E78" s="183"/>
      <c r="F78" s="183"/>
      <c r="G78" s="183"/>
      <c r="H78" s="183"/>
      <c r="I78" s="183"/>
      <c r="J78" s="183"/>
      <c r="K78" s="183"/>
      <c r="L78" s="183"/>
      <c r="M78" s="183"/>
      <c r="N78" s="183"/>
      <c r="O78" s="183"/>
      <c r="P78" s="121"/>
      <c r="Q78" s="121"/>
      <c r="R78" s="121"/>
      <c r="S78" s="121"/>
      <c r="T78" s="158"/>
      <c r="U78" s="121"/>
      <c r="V78" s="121"/>
      <c r="W78" s="121"/>
      <c r="X78" s="121"/>
      <c r="Y78" s="121"/>
      <c r="Z78" s="121"/>
      <c r="AA78" s="121"/>
      <c r="AB78" s="121"/>
      <c r="AC78" s="121"/>
      <c r="AD78" s="121">
        <v>0</v>
      </c>
      <c r="AE78" s="121"/>
      <c r="AF78" s="121"/>
      <c r="AG78" s="121"/>
      <c r="BR78" s="120"/>
      <c r="BS78" s="120"/>
      <c r="BT78" s="120"/>
      <c r="BU78" s="120"/>
      <c r="BV78" s="120"/>
      <c r="BW78" s="120"/>
      <c r="BX78" s="120"/>
      <c r="BY78" s="120"/>
      <c r="BZ78" s="120"/>
      <c r="CA78" s="120"/>
      <c r="CB78" s="120"/>
      <c r="CC78" s="120"/>
      <c r="CD78" s="120"/>
      <c r="CE78" s="120"/>
      <c r="CF78" s="120"/>
      <c r="CG78" s="120"/>
      <c r="CH78" s="120"/>
      <c r="CI78" s="120"/>
      <c r="CJ78" s="120"/>
      <c r="CK78" s="120"/>
      <c r="CL78" s="120"/>
      <c r="CM78" s="120"/>
      <c r="CN78" s="120"/>
      <c r="CO78" s="120"/>
      <c r="CP78" s="120"/>
      <c r="CQ78" s="120"/>
      <c r="CR78" s="120"/>
      <c r="CS78" s="120"/>
      <c r="CT78" s="120"/>
      <c r="CU78" s="120"/>
      <c r="CV78" s="120"/>
      <c r="CW78" s="120"/>
      <c r="CX78" s="120"/>
      <c r="CY78" s="120"/>
      <c r="CZ78" s="120"/>
      <c r="DA78" s="120"/>
      <c r="DB78" s="120"/>
      <c r="DC78" s="120"/>
      <c r="DD78" s="120"/>
      <c r="DE78" s="120"/>
      <c r="DF78" s="120"/>
      <c r="DG78" s="120"/>
      <c r="DH78" s="120"/>
      <c r="DI78" s="120"/>
      <c r="DJ78" s="120"/>
      <c r="DK78" s="120"/>
      <c r="DL78" s="120"/>
      <c r="DM78" s="120"/>
      <c r="DN78" s="120"/>
      <c r="DO78" s="120"/>
      <c r="DP78" s="120"/>
      <c r="DQ78" s="120"/>
      <c r="DR78" s="120"/>
      <c r="DS78" s="120"/>
      <c r="DT78" s="120"/>
      <c r="DU78" s="120"/>
      <c r="DV78" s="120"/>
      <c r="DW78" s="120"/>
      <c r="DX78" s="120"/>
      <c r="DY78" s="120"/>
      <c r="DZ78" s="120"/>
      <c r="EA78" s="120"/>
      <c r="EB78" s="120"/>
      <c r="EC78" s="120"/>
      <c r="ED78" s="120"/>
      <c r="EE78" s="120"/>
      <c r="EF78" s="120"/>
      <c r="EG78" s="120"/>
      <c r="EH78" s="120"/>
      <c r="EI78" s="120"/>
      <c r="EJ78" s="120"/>
      <c r="EK78" s="120"/>
      <c r="EL78" s="120"/>
      <c r="EM78" s="120"/>
      <c r="EN78" s="120"/>
      <c r="EO78" s="120"/>
      <c r="EP78" s="120"/>
      <c r="EQ78" s="120"/>
      <c r="ER78" s="120"/>
      <c r="ES78" s="120"/>
      <c r="ET78" s="120"/>
      <c r="EU78" s="120"/>
      <c r="EV78" s="120"/>
      <c r="EW78" s="120"/>
      <c r="EX78" s="120"/>
      <c r="EY78" s="120"/>
      <c r="EZ78" s="120"/>
      <c r="FA78" s="120"/>
      <c r="FB78" s="120"/>
      <c r="FC78" s="120"/>
      <c r="FD78" s="120"/>
      <c r="FE78" s="120"/>
      <c r="FF78" s="120"/>
      <c r="FG78" s="120"/>
      <c r="FH78" s="120"/>
      <c r="FI78" s="120"/>
      <c r="FJ78" s="120"/>
      <c r="FK78" s="120"/>
      <c r="FL78" s="120"/>
      <c r="FM78" s="120"/>
      <c r="FN78" s="120"/>
      <c r="FO78" s="120"/>
      <c r="FP78" s="120"/>
      <c r="FQ78" s="120"/>
      <c r="FR78" s="120"/>
      <c r="FS78" s="120"/>
      <c r="FT78" s="120"/>
      <c r="FU78" s="120"/>
      <c r="FV78" s="120"/>
      <c r="FW78" s="120"/>
      <c r="FX78" s="120"/>
      <c r="FY78" s="120"/>
      <c r="FZ78" s="120"/>
      <c r="GA78" s="120"/>
      <c r="GB78" s="120"/>
      <c r="GC78" s="120"/>
      <c r="GD78" s="120"/>
      <c r="GE78" s="120"/>
      <c r="GF78" s="120"/>
      <c r="GG78" s="120"/>
      <c r="GH78" s="120"/>
      <c r="GI78" s="120"/>
      <c r="GJ78" s="120"/>
      <c r="GK78" s="120"/>
      <c r="GL78" s="120"/>
      <c r="GM78" s="120"/>
      <c r="GN78" s="120"/>
      <c r="GO78" s="120"/>
      <c r="GP78" s="120"/>
      <c r="GQ78" s="120"/>
      <c r="GR78" s="120"/>
      <c r="GS78" s="120"/>
      <c r="GT78" s="120"/>
      <c r="GU78" s="120"/>
      <c r="GV78" s="120"/>
      <c r="GW78" s="120"/>
      <c r="GX78" s="120"/>
      <c r="GY78" s="120"/>
      <c r="GZ78" s="120"/>
      <c r="HA78" s="120"/>
      <c r="HB78" s="120"/>
      <c r="HC78" s="120"/>
      <c r="HD78" s="120"/>
      <c r="HE78" s="120"/>
      <c r="HF78" s="120"/>
      <c r="HG78" s="120"/>
      <c r="HH78" s="120"/>
      <c r="HI78" s="120"/>
      <c r="HJ78" s="120"/>
      <c r="HK78" s="120"/>
      <c r="HL78" s="120"/>
      <c r="HM78" s="120"/>
      <c r="HN78" s="120"/>
      <c r="HO78" s="120"/>
      <c r="HP78" s="120"/>
      <c r="HQ78" s="120"/>
      <c r="HR78" s="120"/>
      <c r="HS78" s="120"/>
      <c r="HT78" s="120"/>
      <c r="HU78" s="120"/>
      <c r="HV78" s="120"/>
      <c r="HW78" s="120"/>
      <c r="HX78" s="120"/>
      <c r="HY78" s="120"/>
      <c r="HZ78" s="120"/>
      <c r="IA78" s="120"/>
      <c r="IB78" s="120"/>
      <c r="IC78" s="120"/>
      <c r="ID78" s="120"/>
      <c r="IE78" s="120"/>
      <c r="IF78" s="120"/>
      <c r="IG78" s="120"/>
      <c r="IH78" s="120"/>
      <c r="II78" s="120"/>
      <c r="IJ78" s="120"/>
      <c r="IK78" s="120"/>
      <c r="IL78" s="120"/>
      <c r="IM78" s="120"/>
      <c r="IN78" s="120"/>
      <c r="IO78" s="120"/>
      <c r="IP78" s="120"/>
      <c r="IQ78" s="120"/>
      <c r="IR78" s="120"/>
      <c r="IS78" s="120"/>
      <c r="IT78" s="120"/>
      <c r="IU78" s="120"/>
      <c r="IV78" s="120"/>
      <c r="IW78" s="120"/>
      <c r="IX78" s="120"/>
      <c r="IY78" s="120"/>
      <c r="IZ78" s="120"/>
      <c r="JA78" s="120"/>
      <c r="JB78" s="120"/>
      <c r="JC78" s="120"/>
      <c r="JD78" s="120"/>
      <c r="JE78" s="120"/>
      <c r="JF78" s="120"/>
      <c r="JG78" s="120"/>
      <c r="JH78" s="120"/>
      <c r="JI78" s="120"/>
      <c r="JJ78" s="120"/>
      <c r="JK78" s="120"/>
      <c r="JL78" s="120"/>
      <c r="JM78" s="120"/>
      <c r="JN78" s="120"/>
    </row>
    <row r="79" spans="2:292" s="121" customFormat="1" hidden="1">
      <c r="B79" s="202">
        <f t="shared" si="8"/>
        <v>41</v>
      </c>
      <c r="C79" s="203">
        <f t="shared" si="8"/>
        <v>59</v>
      </c>
      <c r="D79" s="204">
        <f t="shared" ref="D79:D83" si="9">IF(C79=0,0,1)</f>
        <v>1</v>
      </c>
      <c r="E79" s="183"/>
      <c r="F79" s="183"/>
      <c r="G79" s="183"/>
      <c r="H79" s="183"/>
      <c r="I79" s="183"/>
      <c r="J79" s="183"/>
      <c r="K79" s="183"/>
      <c r="L79" s="183"/>
      <c r="M79" s="183"/>
      <c r="N79" s="183"/>
      <c r="O79" s="183"/>
      <c r="T79" s="158"/>
    </row>
    <row r="80" spans="2:292" s="121" customFormat="1" hidden="1">
      <c r="B80" s="202">
        <f t="shared" si="8"/>
        <v>59</v>
      </c>
      <c r="C80" s="203">
        <f t="shared" si="8"/>
        <v>82</v>
      </c>
      <c r="D80" s="204">
        <f t="shared" si="9"/>
        <v>1</v>
      </c>
      <c r="H80" s="183"/>
      <c r="N80" s="183"/>
      <c r="O80" s="183"/>
      <c r="T80" s="158"/>
    </row>
    <row r="81" spans="2:30" s="121" customFormat="1" hidden="1">
      <c r="B81" s="202">
        <f t="shared" si="8"/>
        <v>82</v>
      </c>
      <c r="C81" s="203">
        <f t="shared" si="8"/>
        <v>104</v>
      </c>
      <c r="D81" s="204">
        <f t="shared" si="9"/>
        <v>1</v>
      </c>
      <c r="T81" s="158"/>
    </row>
    <row r="82" spans="2:30" s="121" customFormat="1" hidden="1">
      <c r="B82" s="202">
        <f t="shared" si="8"/>
        <v>104</v>
      </c>
      <c r="C82" s="203">
        <f t="shared" si="8"/>
        <v>130</v>
      </c>
      <c r="D82" s="204">
        <f t="shared" si="9"/>
        <v>1</v>
      </c>
      <c r="T82" s="158"/>
    </row>
    <row r="83" spans="2:30" s="121" customFormat="1" hidden="1">
      <c r="B83" s="202" t="str">
        <f t="shared" si="8"/>
        <v/>
      </c>
      <c r="C83" s="203">
        <f t="shared" si="8"/>
        <v>0</v>
      </c>
      <c r="D83" s="204">
        <f t="shared" si="9"/>
        <v>0</v>
      </c>
      <c r="T83" s="158"/>
    </row>
    <row r="84" spans="2:30" s="121" customFormat="1"/>
    <row r="85" spans="2:30" s="121" customFormat="1"/>
    <row r="86" spans="2:30" s="121" customFormat="1"/>
    <row r="87" spans="2:30" s="121" customFormat="1"/>
    <row r="88" spans="2:30" s="121" customFormat="1"/>
    <row r="89" spans="2:30" s="121" customFormat="1">
      <c r="S89" s="168"/>
    </row>
    <row r="90" spans="2:30" s="121" customFormat="1">
      <c r="S90" s="168"/>
    </row>
    <row r="91" spans="2:30" s="121" customFormat="1"/>
    <row r="92" spans="2:30" s="121" customFormat="1"/>
    <row r="93" spans="2:30" s="121" customFormat="1"/>
    <row r="94" spans="2:30" s="121" customFormat="1">
      <c r="AD94" s="121">
        <v>0</v>
      </c>
    </row>
    <row r="95" spans="2:30" s="121" customFormat="1"/>
    <row r="96" spans="2:30" s="121" customFormat="1"/>
    <row r="97" spans="16:32" s="121" customFormat="1"/>
    <row r="98" spans="16:32" s="121" customFormat="1">
      <c r="AE98" s="120"/>
      <c r="AF98" s="120"/>
    </row>
    <row r="99" spans="16:32" s="121" customFormat="1">
      <c r="AE99" s="120"/>
      <c r="AF99" s="120"/>
    </row>
    <row r="100" spans="16:32" s="121" customFormat="1">
      <c r="AE100" s="120"/>
      <c r="AF100" s="120"/>
    </row>
    <row r="101" spans="16:32" s="121" customFormat="1">
      <c r="AE101" s="120"/>
      <c r="AF101" s="120"/>
    </row>
    <row r="102" spans="16:32" s="121" customFormat="1">
      <c r="AE102" s="120"/>
      <c r="AF102" s="120"/>
    </row>
    <row r="103" spans="16:32" s="121" customFormat="1">
      <c r="P103" s="183"/>
      <c r="Q103" s="183"/>
      <c r="R103" s="183"/>
      <c r="S103" s="183"/>
      <c r="T103" s="183"/>
      <c r="U103" s="183"/>
      <c r="V103" s="183"/>
      <c r="W103" s="183"/>
      <c r="X103" s="183"/>
      <c r="Y103" s="183"/>
      <c r="Z103" s="183"/>
      <c r="AA103" s="183"/>
      <c r="AB103" s="183"/>
      <c r="AC103" s="183"/>
      <c r="AD103" s="183"/>
      <c r="AE103" s="120"/>
      <c r="AF103" s="120"/>
    </row>
    <row r="104" spans="16:32" s="121" customFormat="1">
      <c r="P104" s="183"/>
      <c r="Q104" s="183"/>
      <c r="R104" s="183"/>
      <c r="S104" s="183"/>
      <c r="T104" s="183"/>
      <c r="U104" s="183"/>
      <c r="V104" s="183"/>
      <c r="W104" s="183"/>
      <c r="X104" s="183"/>
      <c r="Y104" s="183"/>
      <c r="Z104" s="183"/>
      <c r="AA104" s="183"/>
      <c r="AB104" s="183"/>
      <c r="AC104" s="183"/>
      <c r="AD104" s="183"/>
      <c r="AE104" s="120"/>
      <c r="AF104" s="120"/>
    </row>
    <row r="105" spans="16:32" s="121" customFormat="1">
      <c r="P105" s="183"/>
      <c r="Q105" s="183"/>
      <c r="R105" s="183"/>
      <c r="S105" s="183"/>
      <c r="T105" s="183"/>
      <c r="U105" s="183"/>
      <c r="V105" s="183"/>
      <c r="W105" s="183"/>
      <c r="X105" s="183"/>
      <c r="Y105" s="183"/>
      <c r="Z105" s="183"/>
      <c r="AA105" s="183"/>
      <c r="AB105" s="183"/>
      <c r="AC105" s="183"/>
      <c r="AD105" s="183"/>
      <c r="AE105" s="120"/>
      <c r="AF105" s="120"/>
    </row>
    <row r="106" spans="16:32" s="121" customFormat="1">
      <c r="P106" s="183"/>
      <c r="Q106" s="183"/>
      <c r="R106" s="183"/>
      <c r="S106" s="183"/>
      <c r="T106" s="183"/>
      <c r="U106" s="183"/>
      <c r="V106" s="183"/>
      <c r="W106" s="183"/>
      <c r="X106" s="183"/>
      <c r="Y106" s="183"/>
      <c r="Z106" s="183"/>
      <c r="AA106" s="183"/>
      <c r="AB106" s="183"/>
      <c r="AC106" s="183"/>
      <c r="AD106" s="183"/>
      <c r="AE106" s="120"/>
      <c r="AF106" s="120"/>
    </row>
    <row r="107" spans="16:32" s="121" customFormat="1">
      <c r="P107" s="183"/>
      <c r="Q107" s="183"/>
      <c r="R107" s="183"/>
      <c r="S107" s="183"/>
      <c r="T107" s="183"/>
      <c r="U107" s="183"/>
      <c r="V107" s="183"/>
      <c r="W107" s="183"/>
      <c r="X107" s="183"/>
      <c r="Y107" s="183"/>
      <c r="Z107" s="183"/>
      <c r="AA107" s="183"/>
      <c r="AB107" s="183"/>
      <c r="AC107" s="183"/>
      <c r="AD107" s="183"/>
      <c r="AE107" s="120"/>
      <c r="AF107" s="120"/>
    </row>
    <row r="108" spans="16:32" s="121" customFormat="1">
      <c r="P108" s="183"/>
      <c r="Q108" s="183"/>
      <c r="R108" s="183"/>
      <c r="S108" s="183"/>
      <c r="T108" s="183"/>
      <c r="U108" s="183"/>
      <c r="V108" s="183"/>
      <c r="W108" s="183"/>
      <c r="X108" s="183"/>
      <c r="Y108" s="183"/>
      <c r="Z108" s="183"/>
      <c r="AA108" s="183"/>
      <c r="AB108" s="183"/>
      <c r="AC108" s="183"/>
      <c r="AD108" s="183"/>
      <c r="AE108" s="120"/>
      <c r="AF108" s="120"/>
    </row>
    <row r="109" spans="16:32" s="121" customFormat="1">
      <c r="P109" s="183"/>
      <c r="Q109" s="183"/>
      <c r="R109" s="183"/>
      <c r="S109" s="183"/>
      <c r="T109" s="183"/>
      <c r="U109" s="183"/>
      <c r="V109" s="183"/>
      <c r="W109" s="183"/>
      <c r="X109" s="183"/>
      <c r="Y109" s="183"/>
      <c r="Z109" s="183"/>
      <c r="AA109" s="183"/>
      <c r="AB109" s="183"/>
      <c r="AC109" s="183"/>
      <c r="AD109" s="183"/>
      <c r="AE109" s="120"/>
      <c r="AF109" s="120"/>
    </row>
    <row r="110" spans="16:32" s="121" customFormat="1">
      <c r="P110" s="183"/>
      <c r="Q110" s="183"/>
      <c r="R110" s="183"/>
      <c r="S110" s="183"/>
      <c r="T110" s="183"/>
      <c r="U110" s="183"/>
      <c r="V110" s="183"/>
      <c r="W110" s="183"/>
      <c r="X110" s="183"/>
      <c r="Y110" s="183"/>
      <c r="Z110" s="183"/>
      <c r="AA110" s="183"/>
      <c r="AB110" s="183"/>
      <c r="AC110" s="183"/>
      <c r="AD110" s="183"/>
      <c r="AE110" s="120"/>
      <c r="AF110" s="120"/>
    </row>
    <row r="111" spans="16:32" s="121" customFormat="1">
      <c r="P111" s="183"/>
      <c r="Q111" s="183"/>
      <c r="R111" s="183"/>
      <c r="S111" s="183"/>
      <c r="T111" s="183"/>
      <c r="U111" s="183"/>
      <c r="V111" s="183"/>
      <c r="W111" s="183"/>
      <c r="X111" s="183"/>
      <c r="Y111" s="183"/>
      <c r="Z111" s="183"/>
      <c r="AA111" s="183"/>
      <c r="AB111" s="183"/>
      <c r="AC111" s="183"/>
      <c r="AD111" s="183"/>
      <c r="AE111" s="120"/>
      <c r="AF111" s="120"/>
    </row>
    <row r="112" spans="16:32" s="121" customFormat="1">
      <c r="P112" s="183"/>
      <c r="Q112" s="183"/>
      <c r="R112" s="183"/>
      <c r="S112" s="183"/>
      <c r="T112" s="183"/>
      <c r="U112" s="183"/>
      <c r="V112" s="183"/>
      <c r="W112" s="183"/>
      <c r="X112" s="183"/>
      <c r="Y112" s="183"/>
      <c r="Z112" s="183"/>
      <c r="AA112" s="183"/>
      <c r="AB112" s="183"/>
      <c r="AC112" s="183"/>
      <c r="AD112" s="183"/>
      <c r="AE112" s="120"/>
      <c r="AF112" s="120"/>
    </row>
    <row r="113" spans="16:32" s="121" customFormat="1">
      <c r="P113" s="183"/>
      <c r="Q113" s="183"/>
      <c r="R113" s="183"/>
      <c r="S113" s="183"/>
      <c r="T113" s="183"/>
      <c r="U113" s="183"/>
      <c r="V113" s="183"/>
      <c r="W113" s="183"/>
      <c r="X113" s="183"/>
      <c r="Y113" s="183"/>
      <c r="Z113" s="183"/>
      <c r="AA113" s="183"/>
      <c r="AB113" s="183"/>
      <c r="AC113" s="183"/>
      <c r="AD113" s="183"/>
      <c r="AE113" s="120"/>
      <c r="AF113" s="120"/>
    </row>
    <row r="114" spans="16:32" s="121" customFormat="1">
      <c r="P114" s="183"/>
      <c r="Q114" s="183"/>
      <c r="R114" s="183"/>
      <c r="S114" s="183"/>
      <c r="T114" s="183"/>
      <c r="U114" s="183"/>
      <c r="V114" s="183"/>
      <c r="W114" s="183"/>
      <c r="X114" s="183"/>
      <c r="Y114" s="183"/>
      <c r="Z114" s="183"/>
      <c r="AA114" s="183"/>
      <c r="AB114" s="183"/>
      <c r="AC114" s="183"/>
      <c r="AD114" s="183"/>
      <c r="AE114" s="120"/>
      <c r="AF114" s="120"/>
    </row>
    <row r="115" spans="16:32" s="121" customFormat="1">
      <c r="P115" s="183"/>
      <c r="Q115" s="183"/>
      <c r="R115" s="183"/>
      <c r="S115" s="183"/>
      <c r="T115" s="183"/>
      <c r="U115" s="183"/>
      <c r="V115" s="183"/>
      <c r="W115" s="183"/>
      <c r="X115" s="183"/>
      <c r="Y115" s="183"/>
      <c r="Z115" s="183"/>
      <c r="AA115" s="183"/>
      <c r="AB115" s="183"/>
      <c r="AC115" s="183"/>
      <c r="AD115" s="183"/>
      <c r="AE115" s="120"/>
      <c r="AF115" s="120"/>
    </row>
    <row r="116" spans="16:32" s="121" customFormat="1">
      <c r="P116" s="183"/>
      <c r="Q116" s="183"/>
      <c r="R116" s="183"/>
      <c r="S116" s="183"/>
      <c r="T116" s="183"/>
      <c r="U116" s="183"/>
      <c r="V116" s="183"/>
      <c r="W116" s="183"/>
      <c r="X116" s="183"/>
      <c r="Y116" s="183"/>
      <c r="Z116" s="183"/>
      <c r="AA116" s="183"/>
      <c r="AB116" s="183"/>
      <c r="AC116" s="183"/>
      <c r="AD116" s="183"/>
    </row>
    <row r="117" spans="16:32" s="121" customFormat="1">
      <c r="P117" s="183"/>
      <c r="Q117" s="183"/>
      <c r="R117" s="183"/>
      <c r="S117" s="183"/>
      <c r="T117" s="183"/>
      <c r="U117" s="183"/>
      <c r="V117" s="183"/>
      <c r="W117" s="183"/>
      <c r="X117" s="183"/>
      <c r="Y117" s="183"/>
      <c r="Z117" s="183"/>
      <c r="AA117" s="183"/>
      <c r="AB117" s="183"/>
      <c r="AC117" s="183"/>
      <c r="AD117" s="183"/>
    </row>
    <row r="118" spans="16:32" s="121" customFormat="1"/>
    <row r="119" spans="16:32" s="121" customFormat="1"/>
    <row r="120" spans="16:32" s="121" customFormat="1"/>
    <row r="121" spans="16:32" s="121" customFormat="1"/>
    <row r="122" spans="16:32" s="121" customFormat="1"/>
    <row r="123" spans="16:32" s="121" customFormat="1"/>
    <row r="124" spans="16:32" s="121" customFormat="1"/>
    <row r="125" spans="16:32" s="121" customFormat="1"/>
    <row r="126" spans="16:32" s="121" customFormat="1"/>
    <row r="127" spans="16:32" s="121" customFormat="1"/>
    <row r="128" spans="16:32" s="121" customFormat="1"/>
    <row r="129" s="121" customFormat="1"/>
    <row r="130" s="121" customFormat="1"/>
    <row r="131" s="121" customFormat="1"/>
    <row r="132" s="121" customFormat="1"/>
    <row r="133" s="121" customFormat="1"/>
    <row r="134" s="121" customFormat="1"/>
    <row r="135" s="121" customFormat="1"/>
    <row r="136" s="121" customFormat="1"/>
    <row r="137" s="121" customFormat="1"/>
    <row r="138" s="121" customFormat="1"/>
    <row r="139" s="121" customFormat="1"/>
    <row r="140" s="121" customFormat="1"/>
    <row r="141" s="121" customFormat="1"/>
    <row r="142" s="121" customFormat="1"/>
    <row r="143" s="121" customFormat="1"/>
    <row r="144" s="121" customFormat="1"/>
    <row r="145" s="121" customFormat="1"/>
    <row r="146" s="121" customFormat="1"/>
    <row r="147" s="121" customFormat="1"/>
    <row r="148" s="121" customFormat="1"/>
    <row r="149" s="121" customFormat="1"/>
    <row r="150" s="121" customFormat="1"/>
    <row r="151" s="121" customFormat="1"/>
    <row r="152" s="121" customFormat="1"/>
    <row r="153" s="121" customFormat="1"/>
    <row r="154" s="121" customFormat="1"/>
    <row r="155" s="121" customFormat="1"/>
    <row r="156" s="121" customFormat="1"/>
    <row r="157" s="121" customFormat="1"/>
    <row r="158" s="121" customFormat="1"/>
    <row r="159" s="121" customFormat="1"/>
    <row r="160" s="121" customFormat="1"/>
    <row r="161" s="121" customFormat="1"/>
    <row r="162" s="121" customFormat="1"/>
    <row r="163" s="121" customFormat="1"/>
    <row r="164" s="121" customFormat="1"/>
    <row r="165" s="121" customFormat="1"/>
    <row r="166" s="121" customFormat="1"/>
    <row r="167" s="121" customFormat="1"/>
    <row r="168" s="121" customFormat="1"/>
    <row r="169" s="121" customFormat="1"/>
    <row r="170" s="121" customFormat="1"/>
    <row r="171" s="121" customFormat="1"/>
    <row r="172" s="121" customFormat="1"/>
    <row r="173" s="121" customFormat="1"/>
    <row r="174" s="121" customFormat="1"/>
    <row r="175" s="121" customFormat="1"/>
    <row r="176" s="121" customFormat="1"/>
    <row r="177" s="121" customFormat="1"/>
    <row r="178" s="121" customFormat="1"/>
    <row r="179" s="121" customFormat="1"/>
    <row r="180" s="121" customFormat="1"/>
    <row r="181" s="121" customFormat="1"/>
    <row r="182" s="121" customFormat="1"/>
    <row r="183" s="121" customFormat="1"/>
    <row r="184" s="121" customFormat="1"/>
    <row r="185" s="121" customFormat="1"/>
    <row r="186" s="121" customFormat="1"/>
    <row r="187" s="121" customFormat="1"/>
    <row r="188" s="121" customFormat="1"/>
    <row r="189" s="121" customFormat="1"/>
    <row r="190" s="121" customFormat="1"/>
    <row r="191" s="121" customFormat="1"/>
    <row r="192" s="121" customFormat="1"/>
    <row r="193" s="121" customFormat="1"/>
    <row r="194" s="121" customFormat="1"/>
    <row r="195" s="121" customFormat="1"/>
    <row r="196" s="121" customFormat="1"/>
    <row r="197" s="121" customFormat="1"/>
    <row r="198" s="121" customFormat="1"/>
    <row r="199" s="121" customFormat="1"/>
    <row r="200" s="121" customFormat="1"/>
    <row r="201" s="121" customFormat="1"/>
    <row r="202" s="121" customFormat="1"/>
    <row r="203" s="121" customFormat="1"/>
    <row r="204" s="121" customFormat="1"/>
    <row r="205" s="121" customFormat="1"/>
    <row r="206" s="121" customFormat="1"/>
    <row r="207" s="121" customFormat="1"/>
    <row r="208" s="121" customFormat="1"/>
    <row r="209" s="121" customFormat="1"/>
    <row r="210" s="121" customFormat="1"/>
    <row r="211" s="121" customFormat="1"/>
    <row r="212" s="121" customFormat="1"/>
    <row r="213" s="121" customFormat="1"/>
    <row r="214" s="121" customFormat="1"/>
    <row r="215" s="121" customFormat="1"/>
    <row r="216" s="121" customFormat="1"/>
    <row r="217" s="121" customFormat="1"/>
    <row r="218" s="121" customFormat="1"/>
    <row r="219" s="121" customFormat="1"/>
    <row r="220" s="121" customFormat="1"/>
    <row r="221" s="121" customFormat="1"/>
    <row r="222" s="121" customFormat="1"/>
    <row r="223" s="121" customFormat="1"/>
    <row r="224" s="121" customFormat="1"/>
    <row r="225" s="121" customFormat="1"/>
    <row r="226" s="121" customFormat="1"/>
    <row r="227" s="121" customFormat="1"/>
    <row r="228" s="121" customFormat="1"/>
    <row r="229" s="121" customFormat="1"/>
    <row r="230" s="121" customFormat="1"/>
    <row r="231" s="121" customFormat="1"/>
    <row r="232" s="121" customFormat="1"/>
    <row r="233" s="121" customFormat="1"/>
    <row r="234" s="121" customFormat="1"/>
    <row r="235" s="121" customFormat="1"/>
    <row r="236" s="121" customFormat="1"/>
    <row r="237" s="121" customFormat="1"/>
    <row r="238" s="121" customFormat="1"/>
    <row r="239" s="121" customFormat="1"/>
    <row r="240" s="121" customFormat="1"/>
    <row r="241" s="121" customFormat="1"/>
    <row r="242" s="121" customFormat="1"/>
    <row r="243" s="121" customFormat="1"/>
    <row r="244" s="121" customFormat="1"/>
    <row r="245" s="121" customFormat="1"/>
    <row r="246" s="121" customFormat="1"/>
    <row r="247" s="121" customFormat="1"/>
    <row r="248" s="121" customFormat="1"/>
    <row r="249" s="121" customFormat="1"/>
    <row r="250" s="121" customFormat="1"/>
    <row r="251" s="121" customFormat="1"/>
    <row r="252" s="121" customFormat="1"/>
    <row r="253" s="121" customFormat="1"/>
    <row r="254" s="121" customFormat="1"/>
    <row r="255" s="121" customFormat="1"/>
    <row r="256" s="121" customFormat="1"/>
    <row r="257" spans="16:33" s="121" customFormat="1"/>
    <row r="258" spans="16:33" s="121" customFormat="1"/>
    <row r="259" spans="16:33" s="121" customFormat="1"/>
    <row r="260" spans="16:33" s="121" customFormat="1"/>
    <row r="261" spans="16:33" s="121" customFormat="1"/>
    <row r="262" spans="16:33" s="121" customFormat="1"/>
    <row r="263" spans="16:33" s="121" customFormat="1"/>
    <row r="264" spans="16:33" s="121" customFormat="1"/>
    <row r="265" spans="16:33" s="121" customFormat="1"/>
    <row r="266" spans="16:33" s="121" customFormat="1"/>
    <row r="267" spans="16:33" s="121" customFormat="1"/>
    <row r="268" spans="16:33" s="121" customFormat="1"/>
    <row r="269" spans="16:33" s="121" customFormat="1"/>
    <row r="270" spans="16:33">
      <c r="P270" s="121"/>
      <c r="Q270" s="121"/>
      <c r="R270" s="121"/>
      <c r="S270" s="121"/>
      <c r="T270" s="121"/>
      <c r="U270" s="121"/>
      <c r="V270" s="121"/>
      <c r="W270" s="121"/>
      <c r="X270" s="121"/>
      <c r="Y270" s="121"/>
      <c r="Z270" s="121"/>
      <c r="AA270" s="121"/>
      <c r="AB270" s="121"/>
      <c r="AC270" s="121"/>
      <c r="AD270" s="121"/>
      <c r="AE270" s="121"/>
      <c r="AF270" s="121"/>
      <c r="AG270" s="121"/>
    </row>
    <row r="271" spans="16:33">
      <c r="P271" s="121"/>
      <c r="Q271" s="121"/>
      <c r="R271" s="121"/>
      <c r="S271" s="121"/>
      <c r="T271" s="121"/>
      <c r="U271" s="121"/>
      <c r="V271" s="121"/>
      <c r="W271" s="121"/>
      <c r="X271" s="121"/>
      <c r="Y271" s="121"/>
      <c r="Z271" s="121"/>
      <c r="AA271" s="121"/>
      <c r="AB271" s="121"/>
      <c r="AC271" s="121"/>
      <c r="AD271" s="121"/>
      <c r="AE271" s="121"/>
      <c r="AF271" s="121"/>
      <c r="AG271" s="121"/>
    </row>
    <row r="272" spans="16:33">
      <c r="P272" s="121"/>
      <c r="Q272" s="121"/>
      <c r="R272" s="121"/>
      <c r="S272" s="121"/>
      <c r="T272" s="121"/>
      <c r="U272" s="121"/>
      <c r="V272" s="121"/>
      <c r="W272" s="121"/>
      <c r="X272" s="121"/>
      <c r="Y272" s="121"/>
      <c r="Z272" s="121"/>
      <c r="AA272" s="121"/>
      <c r="AB272" s="121"/>
      <c r="AC272" s="121"/>
      <c r="AD272" s="121"/>
      <c r="AE272" s="121"/>
      <c r="AF272" s="121"/>
      <c r="AG272" s="121"/>
    </row>
    <row r="273" spans="16:33">
      <c r="P273" s="121"/>
      <c r="Q273" s="121"/>
      <c r="R273" s="121"/>
      <c r="S273" s="121"/>
      <c r="T273" s="121"/>
      <c r="U273" s="121"/>
      <c r="V273" s="121"/>
      <c r="W273" s="121"/>
      <c r="X273" s="121"/>
      <c r="Y273" s="121"/>
      <c r="Z273" s="121"/>
      <c r="AA273" s="121"/>
      <c r="AB273" s="121"/>
      <c r="AC273" s="121"/>
      <c r="AD273" s="121"/>
      <c r="AE273" s="121"/>
      <c r="AF273" s="121"/>
      <c r="AG273" s="121"/>
    </row>
    <row r="274" spans="16:33">
      <c r="P274" s="121"/>
      <c r="Q274" s="121"/>
      <c r="R274" s="121"/>
      <c r="S274" s="121"/>
      <c r="T274" s="121"/>
      <c r="U274" s="121"/>
      <c r="V274" s="121"/>
      <c r="W274" s="121"/>
      <c r="X274" s="121"/>
      <c r="Y274" s="121"/>
      <c r="Z274" s="121"/>
      <c r="AA274" s="121"/>
      <c r="AB274" s="121"/>
      <c r="AC274" s="121"/>
      <c r="AD274" s="121"/>
      <c r="AE274" s="121"/>
      <c r="AF274" s="121"/>
      <c r="AG274" s="121"/>
    </row>
    <row r="275" spans="16:33">
      <c r="P275" s="121"/>
      <c r="Q275" s="121"/>
      <c r="R275" s="121"/>
      <c r="S275" s="121"/>
      <c r="T275" s="121"/>
      <c r="U275" s="121"/>
      <c r="V275" s="121"/>
      <c r="W275" s="121"/>
      <c r="X275" s="121"/>
      <c r="Y275" s="121"/>
      <c r="Z275" s="121"/>
      <c r="AA275" s="121"/>
      <c r="AB275" s="121"/>
      <c r="AC275" s="121"/>
      <c r="AD275" s="121"/>
      <c r="AE275" s="121"/>
      <c r="AF275" s="121"/>
      <c r="AG275" s="121"/>
    </row>
    <row r="276" spans="16:33">
      <c r="P276" s="121"/>
      <c r="Q276" s="121"/>
      <c r="R276" s="121"/>
      <c r="S276" s="121"/>
      <c r="T276" s="121"/>
      <c r="U276" s="121"/>
      <c r="V276" s="121"/>
      <c r="W276" s="121"/>
      <c r="X276" s="121"/>
      <c r="Y276" s="121"/>
      <c r="Z276" s="121"/>
      <c r="AA276" s="121"/>
      <c r="AB276" s="121"/>
      <c r="AC276" s="121"/>
      <c r="AD276" s="121"/>
      <c r="AE276" s="121"/>
      <c r="AF276" s="121"/>
      <c r="AG276" s="121"/>
    </row>
    <row r="277" spans="16:33">
      <c r="P277" s="121"/>
      <c r="Q277" s="121"/>
      <c r="R277" s="121"/>
      <c r="S277" s="121"/>
      <c r="T277" s="121"/>
      <c r="U277" s="121"/>
      <c r="V277" s="121"/>
      <c r="W277" s="121"/>
      <c r="X277" s="121"/>
      <c r="Y277" s="121"/>
      <c r="Z277" s="121"/>
      <c r="AA277" s="121"/>
      <c r="AB277" s="121"/>
      <c r="AC277" s="121"/>
      <c r="AD277" s="121"/>
      <c r="AE277" s="121"/>
      <c r="AF277" s="121"/>
      <c r="AG277" s="121"/>
    </row>
    <row r="278" spans="16:33">
      <c r="P278" s="121"/>
      <c r="Q278" s="121"/>
      <c r="R278" s="121"/>
      <c r="S278" s="121"/>
      <c r="T278" s="121"/>
      <c r="U278" s="121"/>
      <c r="V278" s="121"/>
      <c r="W278" s="121"/>
      <c r="X278" s="121"/>
      <c r="Y278" s="121"/>
      <c r="Z278" s="121"/>
      <c r="AA278" s="121"/>
      <c r="AB278" s="121"/>
      <c r="AC278" s="121"/>
      <c r="AD278" s="121"/>
      <c r="AE278" s="121"/>
      <c r="AF278" s="121"/>
      <c r="AG278" s="121"/>
    </row>
    <row r="279" spans="16:33">
      <c r="P279" s="121"/>
      <c r="Q279" s="121"/>
      <c r="R279" s="121"/>
      <c r="S279" s="121"/>
      <c r="T279" s="121"/>
      <c r="U279" s="121"/>
      <c r="V279" s="121"/>
      <c r="W279" s="121"/>
      <c r="X279" s="121"/>
      <c r="Y279" s="121"/>
      <c r="Z279" s="121"/>
      <c r="AA279" s="121"/>
      <c r="AB279" s="121"/>
      <c r="AC279" s="121"/>
      <c r="AD279" s="121"/>
      <c r="AE279" s="121"/>
      <c r="AF279" s="121"/>
      <c r="AG279" s="121"/>
    </row>
    <row r="280" spans="16:33">
      <c r="P280" s="121"/>
      <c r="Q280" s="121"/>
      <c r="R280" s="121"/>
      <c r="S280" s="121"/>
      <c r="T280" s="121"/>
      <c r="U280" s="121"/>
      <c r="V280" s="121"/>
      <c r="W280" s="121"/>
      <c r="X280" s="121"/>
      <c r="Y280" s="121"/>
      <c r="Z280" s="121"/>
      <c r="AA280" s="121"/>
      <c r="AB280" s="121"/>
      <c r="AC280" s="121"/>
      <c r="AD280" s="121"/>
      <c r="AE280" s="121"/>
      <c r="AF280" s="121"/>
      <c r="AG280" s="121"/>
    </row>
    <row r="281" spans="16:33">
      <c r="P281" s="121"/>
      <c r="Q281" s="121"/>
      <c r="R281" s="121"/>
      <c r="S281" s="121"/>
      <c r="T281" s="121"/>
      <c r="U281" s="121"/>
      <c r="V281" s="121"/>
      <c r="W281" s="121"/>
      <c r="X281" s="121"/>
      <c r="Y281" s="121"/>
      <c r="Z281" s="121"/>
      <c r="AA281" s="121"/>
      <c r="AB281" s="121"/>
      <c r="AC281" s="121"/>
      <c r="AD281" s="121"/>
      <c r="AE281" s="121"/>
      <c r="AF281" s="121"/>
      <c r="AG281" s="121"/>
    </row>
    <row r="282" spans="16:33">
      <c r="P282" s="121"/>
      <c r="Q282" s="121"/>
      <c r="R282" s="121"/>
      <c r="S282" s="121"/>
      <c r="T282" s="121"/>
      <c r="U282" s="121"/>
      <c r="V282" s="121"/>
      <c r="W282" s="121"/>
      <c r="X282" s="121"/>
      <c r="Y282" s="121"/>
      <c r="Z282" s="121"/>
      <c r="AA282" s="121"/>
      <c r="AB282" s="121"/>
      <c r="AC282" s="121"/>
      <c r="AD282" s="121"/>
      <c r="AE282" s="121"/>
      <c r="AF282" s="121"/>
      <c r="AG282" s="121"/>
    </row>
    <row r="283" spans="16:33">
      <c r="P283" s="121"/>
      <c r="Q283" s="121"/>
      <c r="R283" s="121"/>
      <c r="S283" s="121"/>
      <c r="T283" s="121"/>
      <c r="U283" s="121"/>
      <c r="V283" s="121"/>
      <c r="W283" s="121"/>
      <c r="X283" s="121"/>
      <c r="Y283" s="121"/>
      <c r="Z283" s="121"/>
      <c r="AA283" s="121"/>
      <c r="AB283" s="121"/>
      <c r="AC283" s="121"/>
      <c r="AD283" s="121"/>
      <c r="AE283" s="121"/>
      <c r="AF283" s="121"/>
      <c r="AG283" s="121"/>
    </row>
    <row r="284" spans="16:33">
      <c r="P284" s="121"/>
      <c r="Q284" s="121"/>
      <c r="R284" s="121"/>
      <c r="S284" s="121"/>
      <c r="T284" s="121"/>
      <c r="U284" s="121"/>
      <c r="V284" s="121"/>
      <c r="W284" s="121"/>
      <c r="X284" s="121"/>
      <c r="Y284" s="121"/>
      <c r="Z284" s="121"/>
      <c r="AA284" s="121"/>
      <c r="AB284" s="121"/>
      <c r="AC284" s="121"/>
      <c r="AD284" s="121"/>
      <c r="AE284" s="121"/>
      <c r="AF284" s="121"/>
      <c r="AG284" s="121"/>
    </row>
    <row r="285" spans="16:33">
      <c r="P285" s="121"/>
      <c r="Q285" s="121"/>
      <c r="R285" s="121"/>
      <c r="S285" s="121"/>
      <c r="T285" s="121"/>
      <c r="U285" s="121"/>
      <c r="V285" s="121"/>
      <c r="W285" s="121"/>
      <c r="X285" s="121"/>
      <c r="Y285" s="121"/>
      <c r="Z285" s="121"/>
      <c r="AA285" s="121"/>
      <c r="AB285" s="121"/>
      <c r="AC285" s="121"/>
      <c r="AD285" s="121"/>
      <c r="AE285" s="121"/>
      <c r="AF285" s="121"/>
      <c r="AG285" s="121"/>
    </row>
    <row r="286" spans="16:33">
      <c r="P286" s="121"/>
      <c r="Q286" s="121"/>
      <c r="R286" s="121"/>
      <c r="S286" s="121"/>
      <c r="T286" s="121"/>
      <c r="U286" s="121"/>
      <c r="V286" s="121"/>
      <c r="W286" s="121"/>
      <c r="X286" s="121"/>
      <c r="Y286" s="121"/>
      <c r="Z286" s="121"/>
      <c r="AA286" s="121"/>
      <c r="AB286" s="121"/>
      <c r="AC286" s="121"/>
      <c r="AD286" s="121"/>
      <c r="AE286" s="121"/>
      <c r="AF286" s="121"/>
      <c r="AG286" s="121"/>
    </row>
    <row r="287" spans="16:33">
      <c r="P287" s="121"/>
      <c r="Q287" s="121"/>
      <c r="R287" s="121"/>
      <c r="S287" s="121"/>
      <c r="T287" s="121"/>
      <c r="U287" s="121"/>
      <c r="V287" s="121"/>
      <c r="W287" s="121"/>
      <c r="X287" s="121"/>
      <c r="Y287" s="121"/>
      <c r="Z287" s="121"/>
      <c r="AA287" s="121"/>
      <c r="AB287" s="121"/>
      <c r="AC287" s="121"/>
      <c r="AD287" s="121"/>
      <c r="AE287" s="121"/>
      <c r="AF287" s="121"/>
      <c r="AG287" s="121"/>
    </row>
    <row r="288" spans="16:33">
      <c r="P288" s="121"/>
      <c r="Q288" s="121"/>
      <c r="R288" s="121"/>
      <c r="S288" s="121"/>
      <c r="T288" s="121"/>
      <c r="U288" s="121"/>
      <c r="V288" s="121"/>
      <c r="W288" s="121"/>
      <c r="X288" s="121"/>
      <c r="Y288" s="121"/>
      <c r="Z288" s="121"/>
      <c r="AA288" s="121"/>
      <c r="AB288" s="121"/>
      <c r="AC288" s="121"/>
      <c r="AD288" s="121"/>
      <c r="AE288" s="121"/>
      <c r="AF288" s="121"/>
      <c r="AG288" s="121"/>
    </row>
    <row r="289" spans="16:33">
      <c r="P289" s="121"/>
      <c r="Q289" s="121"/>
      <c r="R289" s="121"/>
      <c r="S289" s="121"/>
      <c r="T289" s="121"/>
      <c r="U289" s="121"/>
      <c r="V289" s="121"/>
      <c r="W289" s="121"/>
      <c r="X289" s="121"/>
      <c r="Y289" s="121"/>
      <c r="Z289" s="121"/>
      <c r="AA289" s="121"/>
      <c r="AB289" s="121"/>
      <c r="AC289" s="121"/>
      <c r="AD289" s="121"/>
      <c r="AE289" s="121"/>
      <c r="AF289" s="121"/>
      <c r="AG289" s="121"/>
    </row>
    <row r="290" spans="16:33">
      <c r="P290" s="121"/>
      <c r="Q290" s="121"/>
      <c r="R290" s="121"/>
      <c r="S290" s="121"/>
      <c r="T290" s="121"/>
      <c r="U290" s="121"/>
      <c r="V290" s="121"/>
      <c r="W290" s="121"/>
      <c r="X290" s="121"/>
      <c r="Y290" s="121"/>
      <c r="Z290" s="121"/>
      <c r="AA290" s="121"/>
      <c r="AB290" s="121"/>
      <c r="AC290" s="121"/>
      <c r="AD290" s="121"/>
      <c r="AE290" s="121"/>
      <c r="AF290" s="121"/>
      <c r="AG290" s="121"/>
    </row>
    <row r="291" spans="16:33">
      <c r="P291" s="121"/>
      <c r="Q291" s="121"/>
      <c r="R291" s="121"/>
      <c r="S291" s="121"/>
      <c r="T291" s="121"/>
      <c r="U291" s="121"/>
      <c r="V291" s="121"/>
      <c r="W291" s="121"/>
      <c r="X291" s="121"/>
      <c r="Y291" s="121"/>
      <c r="Z291" s="121"/>
      <c r="AA291" s="121"/>
      <c r="AB291" s="121"/>
      <c r="AC291" s="121"/>
      <c r="AD291" s="121"/>
      <c r="AE291" s="121"/>
      <c r="AF291" s="121"/>
      <c r="AG291" s="121"/>
    </row>
    <row r="292" spans="16:33">
      <c r="P292" s="121"/>
      <c r="Q292" s="121"/>
      <c r="R292" s="121"/>
      <c r="S292" s="121"/>
      <c r="T292" s="121"/>
      <c r="U292" s="121"/>
      <c r="V292" s="121"/>
      <c r="W292" s="121"/>
      <c r="X292" s="121"/>
      <c r="Y292" s="121"/>
      <c r="Z292" s="121"/>
      <c r="AA292" s="121"/>
      <c r="AB292" s="121"/>
      <c r="AC292" s="121"/>
      <c r="AD292" s="121"/>
      <c r="AE292" s="121"/>
      <c r="AF292" s="121"/>
      <c r="AG292" s="121"/>
    </row>
    <row r="293" spans="16:33">
      <c r="P293" s="121"/>
      <c r="Q293" s="121"/>
      <c r="R293" s="121"/>
      <c r="S293" s="121"/>
      <c r="T293" s="121"/>
      <c r="U293" s="121"/>
      <c r="V293" s="121"/>
      <c r="W293" s="121"/>
      <c r="X293" s="121"/>
      <c r="Y293" s="121"/>
      <c r="Z293" s="121"/>
      <c r="AA293" s="121"/>
      <c r="AB293" s="121"/>
      <c r="AC293" s="121"/>
      <c r="AD293" s="121"/>
      <c r="AE293" s="121"/>
      <c r="AF293" s="121"/>
      <c r="AG293" s="121"/>
    </row>
    <row r="294" spans="16:33">
      <c r="P294" s="121"/>
      <c r="Q294" s="121"/>
      <c r="R294" s="121"/>
      <c r="S294" s="121"/>
      <c r="T294" s="121"/>
      <c r="U294" s="121"/>
      <c r="V294" s="121"/>
      <c r="W294" s="121"/>
      <c r="X294" s="121"/>
      <c r="Y294" s="121"/>
      <c r="Z294" s="121"/>
      <c r="AA294" s="121"/>
      <c r="AB294" s="121"/>
      <c r="AC294" s="121"/>
      <c r="AD294" s="121"/>
      <c r="AE294" s="121"/>
      <c r="AF294" s="121"/>
      <c r="AG294" s="121"/>
    </row>
    <row r="295" spans="16:33">
      <c r="P295" s="121"/>
      <c r="Q295" s="121"/>
      <c r="R295" s="121"/>
      <c r="S295" s="121"/>
      <c r="T295" s="121"/>
      <c r="U295" s="121"/>
      <c r="V295" s="121"/>
      <c r="W295" s="121"/>
      <c r="X295" s="121"/>
      <c r="Y295" s="121"/>
      <c r="Z295" s="121"/>
      <c r="AA295" s="121"/>
      <c r="AB295" s="121"/>
      <c r="AC295" s="121"/>
      <c r="AD295" s="121"/>
      <c r="AE295" s="121"/>
      <c r="AF295" s="121"/>
      <c r="AG295" s="121"/>
    </row>
    <row r="296" spans="16:33">
      <c r="P296" s="121"/>
      <c r="Q296" s="121"/>
      <c r="R296" s="121"/>
      <c r="S296" s="121"/>
      <c r="T296" s="121"/>
      <c r="U296" s="121"/>
      <c r="V296" s="121"/>
      <c r="W296" s="121"/>
      <c r="X296" s="121"/>
      <c r="Y296" s="121"/>
      <c r="Z296" s="121"/>
      <c r="AA296" s="121"/>
      <c r="AB296" s="121"/>
      <c r="AC296" s="121"/>
      <c r="AD296" s="121"/>
      <c r="AE296" s="121"/>
      <c r="AF296" s="121"/>
      <c r="AG296" s="121"/>
    </row>
    <row r="297" spans="16:33">
      <c r="P297" s="121"/>
      <c r="Q297" s="121"/>
      <c r="R297" s="121"/>
      <c r="S297" s="121"/>
      <c r="T297" s="121"/>
      <c r="U297" s="121"/>
      <c r="V297" s="121"/>
      <c r="W297" s="121"/>
      <c r="X297" s="121"/>
      <c r="Y297" s="121"/>
      <c r="Z297" s="121"/>
      <c r="AA297" s="121"/>
      <c r="AB297" s="121"/>
      <c r="AC297" s="121"/>
      <c r="AD297" s="121"/>
      <c r="AE297" s="121"/>
      <c r="AF297" s="121"/>
      <c r="AG297" s="121"/>
    </row>
    <row r="298" spans="16:33">
      <c r="P298" s="121"/>
      <c r="Q298" s="121"/>
      <c r="R298" s="121"/>
      <c r="S298" s="121"/>
      <c r="T298" s="121"/>
      <c r="U298" s="121"/>
      <c r="V298" s="121"/>
      <c r="W298" s="121"/>
      <c r="X298" s="121"/>
      <c r="Y298" s="121"/>
      <c r="Z298" s="121"/>
      <c r="AA298" s="121"/>
      <c r="AB298" s="121"/>
      <c r="AC298" s="121"/>
      <c r="AD298" s="121"/>
      <c r="AE298" s="121"/>
      <c r="AF298" s="121"/>
      <c r="AG298" s="121"/>
    </row>
    <row r="299" spans="16:33">
      <c r="P299" s="121"/>
      <c r="Q299" s="121"/>
      <c r="R299" s="121"/>
      <c r="S299" s="121"/>
      <c r="T299" s="121"/>
      <c r="U299" s="121"/>
      <c r="V299" s="121"/>
      <c r="W299" s="121"/>
      <c r="X299" s="121"/>
      <c r="Y299" s="121"/>
      <c r="Z299" s="121"/>
      <c r="AA299" s="121"/>
      <c r="AB299" s="121"/>
      <c r="AC299" s="121"/>
      <c r="AD299" s="121"/>
      <c r="AE299" s="121"/>
      <c r="AF299" s="121"/>
      <c r="AG299" s="121"/>
    </row>
    <row r="300" spans="16:33">
      <c r="P300" s="121"/>
      <c r="Q300" s="121"/>
      <c r="R300" s="121"/>
      <c r="S300" s="121"/>
      <c r="T300" s="121"/>
      <c r="U300" s="121"/>
      <c r="V300" s="121"/>
      <c r="W300" s="121"/>
      <c r="X300" s="121"/>
      <c r="Y300" s="121"/>
      <c r="Z300" s="121"/>
      <c r="AA300" s="121"/>
      <c r="AB300" s="121"/>
      <c r="AC300" s="121"/>
      <c r="AD300" s="121"/>
      <c r="AE300" s="121"/>
      <c r="AF300" s="121"/>
      <c r="AG300" s="121"/>
    </row>
    <row r="301" spans="16:33">
      <c r="P301" s="121"/>
      <c r="Q301" s="121"/>
      <c r="R301" s="121"/>
      <c r="S301" s="121"/>
      <c r="T301" s="121"/>
      <c r="U301" s="121"/>
      <c r="V301" s="121"/>
      <c r="W301" s="121"/>
      <c r="X301" s="121"/>
      <c r="Y301" s="121"/>
      <c r="Z301" s="121"/>
      <c r="AA301" s="121"/>
      <c r="AB301" s="121"/>
      <c r="AC301" s="121"/>
      <c r="AD301" s="121"/>
      <c r="AE301" s="121"/>
      <c r="AF301" s="121"/>
      <c r="AG301" s="121"/>
    </row>
    <row r="302" spans="16:33">
      <c r="P302" s="121"/>
      <c r="Q302" s="121"/>
      <c r="R302" s="121"/>
      <c r="S302" s="121"/>
      <c r="T302" s="121"/>
      <c r="U302" s="121"/>
      <c r="V302" s="121"/>
      <c r="W302" s="121"/>
      <c r="X302" s="121"/>
      <c r="Y302" s="121"/>
      <c r="Z302" s="121"/>
      <c r="AA302" s="121"/>
      <c r="AB302" s="121"/>
      <c r="AC302" s="121"/>
      <c r="AD302" s="121"/>
      <c r="AE302" s="121"/>
      <c r="AF302" s="121"/>
      <c r="AG302" s="121"/>
    </row>
    <row r="303" spans="16:33">
      <c r="P303" s="121"/>
      <c r="Q303" s="121"/>
      <c r="R303" s="121"/>
      <c r="S303" s="121"/>
      <c r="T303" s="121"/>
      <c r="U303" s="121"/>
      <c r="V303" s="121"/>
      <c r="W303" s="121"/>
      <c r="X303" s="121"/>
      <c r="Y303" s="121"/>
      <c r="Z303" s="121"/>
      <c r="AA303" s="121"/>
      <c r="AB303" s="121"/>
      <c r="AC303" s="121"/>
      <c r="AD303" s="121"/>
      <c r="AE303" s="121"/>
      <c r="AF303" s="121"/>
      <c r="AG303" s="121"/>
    </row>
    <row r="304" spans="16:33">
      <c r="P304" s="121"/>
      <c r="Q304" s="121"/>
      <c r="R304" s="121"/>
      <c r="S304" s="121"/>
      <c r="T304" s="121"/>
      <c r="U304" s="121"/>
      <c r="V304" s="121"/>
      <c r="W304" s="121"/>
      <c r="X304" s="121"/>
      <c r="Y304" s="121"/>
      <c r="Z304" s="121"/>
      <c r="AA304" s="121"/>
      <c r="AB304" s="121"/>
      <c r="AC304" s="121"/>
      <c r="AD304" s="121"/>
      <c r="AE304" s="121"/>
      <c r="AF304" s="121"/>
      <c r="AG304" s="121"/>
    </row>
    <row r="305" spans="16:33">
      <c r="P305" s="121"/>
      <c r="Q305" s="121"/>
      <c r="R305" s="121"/>
      <c r="S305" s="121"/>
      <c r="T305" s="121"/>
      <c r="U305" s="121"/>
      <c r="V305" s="121"/>
      <c r="W305" s="121"/>
      <c r="X305" s="121"/>
      <c r="Y305" s="121"/>
      <c r="Z305" s="121"/>
      <c r="AA305" s="121"/>
      <c r="AB305" s="121"/>
      <c r="AC305" s="121"/>
      <c r="AD305" s="121"/>
      <c r="AE305" s="121"/>
      <c r="AF305" s="121"/>
      <c r="AG305" s="121"/>
    </row>
    <row r="306" spans="16:33">
      <c r="P306" s="121"/>
      <c r="Q306" s="121"/>
      <c r="R306" s="121"/>
      <c r="S306" s="121"/>
      <c r="T306" s="121"/>
      <c r="U306" s="121"/>
      <c r="V306" s="121"/>
      <c r="W306" s="121"/>
      <c r="X306" s="121"/>
      <c r="Y306" s="121"/>
      <c r="Z306" s="121"/>
      <c r="AA306" s="121"/>
      <c r="AB306" s="121"/>
      <c r="AC306" s="121"/>
      <c r="AD306" s="121"/>
      <c r="AE306" s="121"/>
      <c r="AF306" s="121"/>
      <c r="AG306" s="121"/>
    </row>
    <row r="307" spans="16:33">
      <c r="P307" s="121"/>
      <c r="Q307" s="121"/>
      <c r="R307" s="121"/>
      <c r="S307" s="121"/>
      <c r="T307" s="121"/>
      <c r="U307" s="121"/>
      <c r="V307" s="121"/>
      <c r="W307" s="121"/>
      <c r="X307" s="121"/>
      <c r="Y307" s="121"/>
      <c r="Z307" s="121"/>
      <c r="AA307" s="121"/>
      <c r="AB307" s="121"/>
      <c r="AC307" s="121"/>
      <c r="AD307" s="121"/>
      <c r="AE307" s="121"/>
      <c r="AF307" s="121"/>
      <c r="AG307" s="121"/>
    </row>
    <row r="308" spans="16:33">
      <c r="P308" s="121"/>
      <c r="Q308" s="121"/>
      <c r="R308" s="121"/>
      <c r="S308" s="121"/>
      <c r="T308" s="121"/>
      <c r="U308" s="121"/>
      <c r="V308" s="121"/>
      <c r="W308" s="121"/>
      <c r="X308" s="121"/>
      <c r="Y308" s="121"/>
      <c r="Z308" s="121"/>
      <c r="AA308" s="121"/>
      <c r="AB308" s="121"/>
      <c r="AC308" s="121"/>
      <c r="AD308" s="121"/>
      <c r="AE308" s="121"/>
      <c r="AF308" s="121"/>
      <c r="AG308" s="121"/>
    </row>
    <row r="309" spans="16:33">
      <c r="P309" s="121"/>
      <c r="Q309" s="121"/>
      <c r="R309" s="121"/>
      <c r="S309" s="121"/>
      <c r="T309" s="121"/>
      <c r="U309" s="121"/>
      <c r="V309" s="121"/>
      <c r="W309" s="121"/>
      <c r="X309" s="121"/>
      <c r="Y309" s="121"/>
      <c r="Z309" s="121"/>
      <c r="AA309" s="121"/>
      <c r="AB309" s="121"/>
      <c r="AC309" s="121"/>
      <c r="AD309" s="121"/>
      <c r="AE309" s="121"/>
      <c r="AF309" s="121"/>
      <c r="AG309" s="121"/>
    </row>
    <row r="310" spans="16:33">
      <c r="P310" s="121"/>
      <c r="Q310" s="121"/>
      <c r="R310" s="121"/>
      <c r="S310" s="121"/>
      <c r="T310" s="121"/>
      <c r="U310" s="121"/>
      <c r="V310" s="121"/>
      <c r="W310" s="121"/>
      <c r="X310" s="121"/>
      <c r="Y310" s="121"/>
      <c r="Z310" s="121"/>
      <c r="AA310" s="121"/>
      <c r="AB310" s="121"/>
      <c r="AC310" s="121"/>
      <c r="AD310" s="121"/>
      <c r="AE310" s="121"/>
      <c r="AF310" s="121"/>
      <c r="AG310" s="121"/>
    </row>
    <row r="311" spans="16:33">
      <c r="P311" s="121"/>
      <c r="Q311" s="121"/>
      <c r="R311" s="121"/>
      <c r="S311" s="121"/>
      <c r="T311" s="121"/>
      <c r="U311" s="121"/>
      <c r="V311" s="121"/>
      <c r="W311" s="121"/>
      <c r="X311" s="121"/>
      <c r="Y311" s="121"/>
      <c r="Z311" s="121"/>
      <c r="AA311" s="121"/>
      <c r="AB311" s="121"/>
      <c r="AC311" s="121"/>
      <c r="AD311" s="121"/>
      <c r="AE311" s="121"/>
      <c r="AF311" s="121"/>
      <c r="AG311" s="121"/>
    </row>
    <row r="312" spans="16:33">
      <c r="P312" s="121"/>
      <c r="Q312" s="121"/>
      <c r="R312" s="121"/>
      <c r="S312" s="121"/>
      <c r="T312" s="121"/>
      <c r="U312" s="121"/>
      <c r="V312" s="121"/>
      <c r="W312" s="121"/>
      <c r="X312" s="121"/>
      <c r="Y312" s="121"/>
      <c r="Z312" s="121"/>
      <c r="AA312" s="121"/>
      <c r="AB312" s="121"/>
      <c r="AC312" s="121"/>
      <c r="AD312" s="121"/>
      <c r="AE312" s="121"/>
      <c r="AF312" s="121"/>
      <c r="AG312" s="121"/>
    </row>
  </sheetData>
  <mergeCells count="36">
    <mergeCell ref="B35:J40"/>
    <mergeCell ref="B26:J26"/>
    <mergeCell ref="B28:J28"/>
    <mergeCell ref="B29:J30"/>
    <mergeCell ref="B31:J31"/>
    <mergeCell ref="B33:B34"/>
    <mergeCell ref="C33:J34"/>
    <mergeCell ref="S73:T73"/>
    <mergeCell ref="S74:T74"/>
    <mergeCell ref="Y62:Z62"/>
    <mergeCell ref="Y66:Z66"/>
    <mergeCell ref="Y70:Z70"/>
    <mergeCell ref="S72:U72"/>
    <mergeCell ref="G46:I46"/>
    <mergeCell ref="C42:E42"/>
    <mergeCell ref="C43:E43"/>
    <mergeCell ref="C44:E44"/>
    <mergeCell ref="G42:I42"/>
    <mergeCell ref="G43:I43"/>
    <mergeCell ref="G44:I44"/>
    <mergeCell ref="C14:D14"/>
    <mergeCell ref="B1:J2"/>
    <mergeCell ref="Y58:Z58"/>
    <mergeCell ref="Y50:Z50"/>
    <mergeCell ref="B7:D7"/>
    <mergeCell ref="B8:D8"/>
    <mergeCell ref="B10:D10"/>
    <mergeCell ref="B11:D11"/>
    <mergeCell ref="Y54:Z54"/>
    <mergeCell ref="B12:D12"/>
    <mergeCell ref="B9:D9"/>
    <mergeCell ref="B6:D6"/>
    <mergeCell ref="I13:J13"/>
    <mergeCell ref="F13:G13"/>
    <mergeCell ref="B23:J23"/>
    <mergeCell ref="B24:J25"/>
  </mergeCells>
  <conditionalFormatting sqref="F62:F63">
    <cfRule type="cellIs" dxfId="25" priority="37" operator="greaterThan">
      <formula>$AD$78</formula>
    </cfRule>
  </conditionalFormatting>
  <conditionalFormatting sqref="L62:L63">
    <cfRule type="cellIs" dxfId="24" priority="38" operator="lessThan">
      <formula>$AD$94</formula>
    </cfRule>
    <cfRule type="cellIs" dxfId="23" priority="39" operator="greaterThan">
      <formula>$AD$94</formula>
    </cfRule>
  </conditionalFormatting>
  <conditionalFormatting sqref="F62:F63">
    <cfRule type="cellIs" dxfId="22" priority="40" operator="lessThan">
      <formula>$AD$78</formula>
    </cfRule>
  </conditionalFormatting>
  <conditionalFormatting sqref="E45">
    <cfRule type="cellIs" dxfId="21" priority="29" operator="lessThan">
      <formula>$AD$94</formula>
    </cfRule>
    <cfRule type="cellIs" dxfId="20" priority="30" operator="greaterThan">
      <formula>$AD$94</formula>
    </cfRule>
  </conditionalFormatting>
  <conditionalFormatting sqref="I45">
    <cfRule type="cellIs" dxfId="19" priority="21" operator="lessThan">
      <formula>$AD$94</formula>
    </cfRule>
    <cfRule type="cellIs" dxfId="18" priority="22" operator="greaterThan">
      <formula>$AD$94</formula>
    </cfRule>
  </conditionalFormatting>
  <conditionalFormatting sqref="I47">
    <cfRule type="cellIs" dxfId="17" priority="19" operator="lessThan">
      <formula>$AD$94</formula>
    </cfRule>
    <cfRule type="cellIs" dxfId="16" priority="20" operator="greaterThan">
      <formula>$AD$94</formula>
    </cfRule>
  </conditionalFormatting>
  <conditionalFormatting sqref="E47">
    <cfRule type="cellIs" dxfId="15" priority="17" operator="lessThan">
      <formula>$AD$94</formula>
    </cfRule>
    <cfRule type="cellIs" dxfId="14" priority="18" operator="greaterThan">
      <formula>$AD$94</formula>
    </cfRule>
  </conditionalFormatting>
  <conditionalFormatting sqref="E49">
    <cfRule type="cellIs" dxfId="13" priority="13" operator="lessThan">
      <formula>$AD$94</formula>
    </cfRule>
    <cfRule type="cellIs" dxfId="12" priority="14" operator="greaterThan">
      <formula>$AD$94</formula>
    </cfRule>
  </conditionalFormatting>
  <conditionalFormatting sqref="E51">
    <cfRule type="cellIs" dxfId="11" priority="11" operator="lessThan">
      <formula>$AD$94</formula>
    </cfRule>
    <cfRule type="cellIs" dxfId="10" priority="12" operator="greaterThan">
      <formula>$AD$94</formula>
    </cfRule>
  </conditionalFormatting>
  <conditionalFormatting sqref="E46">
    <cfRule type="cellIs" dxfId="9" priority="9" operator="lessThan">
      <formula>$AD$94</formula>
    </cfRule>
    <cfRule type="cellIs" dxfId="8" priority="10" operator="greaterThan">
      <formula>$AD$94</formula>
    </cfRule>
  </conditionalFormatting>
  <conditionalFormatting sqref="E50">
    <cfRule type="cellIs" dxfId="7" priority="7" operator="lessThan">
      <formula>$AD$94</formula>
    </cfRule>
    <cfRule type="cellIs" dxfId="6" priority="8" operator="greaterThan">
      <formula>$AD$94</formula>
    </cfRule>
  </conditionalFormatting>
  <conditionalFormatting sqref="B26:J26">
    <cfRule type="containsText" dxfId="5" priority="4" operator="containsText" text="In this scenario, feed the current STTD phosphorus levels or the biological STTD phosphorus do not differ in economics.">
      <formula>NOT(ISERROR(SEARCH("In this scenario, feed the current STTD phosphorus levels or the biological STTD phosphorus do not differ in economics.",B26)))</formula>
    </cfRule>
    <cfRule type="containsText" dxfId="4" priority="5" operator="containsText" text="In this scenario, it is economical to feed PIC STTD phosphorus biological levels.">
      <formula>NOT(ISERROR(SEARCH("In this scenario, it is economical to feed PIC STTD phosphorus biological levels.",B26)))</formula>
    </cfRule>
    <cfRule type="containsText" dxfId="3" priority="6" operator="containsText" text="In this scenario, it isn't economical to feed PIC STTD phosphorus biological levels.">
      <formula>NOT(ISERROR(SEARCH("In this scenario, it isn't economical to feed PIC STTD phosphorus biological levels.",B26)))</formula>
    </cfRule>
  </conditionalFormatting>
  <conditionalFormatting sqref="B31:J31">
    <cfRule type="containsText" dxfId="2" priority="1" operator="containsText" text="In this scenario, feed the current STTD phosphorus levels or the biological STTD phosphorus do not differ in economics.">
      <formula>NOT(ISERROR(SEARCH("In this scenario, feed the current STTD phosphorus levels or the biological STTD phosphorus do not differ in economics.",B31)))</formula>
    </cfRule>
    <cfRule type="containsText" dxfId="1" priority="2" operator="containsText" text="In this scenario, it is economical to feed PIC STTD phosphorus biological levels.">
      <formula>NOT(ISERROR(SEARCH("In this scenario, it is economical to feed PIC STTD phosphorus biological levels.",B31)))</formula>
    </cfRule>
    <cfRule type="containsText" dxfId="0" priority="3" operator="containsText" text="In this scenario, it isn't economical to feed PIC STTD phosphorus biological levels.">
      <formula>NOT(ISERROR(SEARCH("In this scenario, it isn't economical to feed PIC STTD phosphorus biological levels.",B31)))</formula>
    </cfRule>
  </conditionalFormatting>
  <dataValidations count="6">
    <dataValidation type="list" allowBlank="1" showInputMessage="1" showErrorMessage="1" promptTitle="If carcass criteria is selected:" prompt="The model can only be evaluated on a carcass basis if the final body weight is greater than 110.2 kg. " sqref="E6" xr:uid="{3EDCBDC7-8EE3-7849-90AD-2A469BD0F64C}">
      <formula1>$T$53:$T$54</formula1>
    </dataValidation>
    <dataValidation errorStyle="warning" allowBlank="1" showInputMessage="1" showErrorMessage="1" error="Please double check your entry" sqref="E10 E7:E8" xr:uid="{9A991BD9-84DE-284A-BF11-8506C14B56E5}"/>
    <dataValidation type="decimal" errorStyle="warning" allowBlank="1" showInputMessage="1" showErrorMessage="1" error="Please double check your entry" sqref="G15:G20 J15:J20" xr:uid="{EBD5DFDD-F572-4F46-868D-7C22E92448AE}">
      <formula1>30</formula1>
      <formula2>500</formula2>
    </dataValidation>
    <dataValidation type="decimal" operator="greaterThanOrEqual" allowBlank="1" showInputMessage="1" showErrorMessage="1" errorTitle="Outside range" error="The model is applicable for growing-finishing pigs, please enter a weight at or above 50 lbs." sqref="C16:C20" xr:uid="{95D71158-9A4B-4AAA-8577-9F78B335231A}">
      <formula1>50</formula1>
    </dataValidation>
    <dataValidation type="decimal" operator="greaterThanOrEqual" allowBlank="1" showInputMessage="1" showErrorMessage="1" errorTitle="Outside range" error="The model is applicable for growing-finishing pigs, please enter a weight at or above 23 kg." sqref="C15" xr:uid="{8A796D14-14D4-4DDC-AB59-5DE0725F402A}">
      <formula1>23</formula1>
    </dataValidation>
    <dataValidation allowBlank="1" showInputMessage="1" showErrorMessage="1" prompt="If the carcass yield entered is 76% or greater, we assume that they are based on carcasses with heads on and thus no impact of phosphorus on yield is considered. " sqref="AN8" xr:uid="{A1D51D17-34B4-0043-A9FC-CDE9520B077B}"/>
  </dataValidation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ABA63-ED27-694C-8642-F32B37B2D710}">
  <sheetPr codeName="Sheet9">
    <tabColor rgb="FFFF0000"/>
  </sheetPr>
  <dimension ref="A1:P96"/>
  <sheetViews>
    <sheetView topLeftCell="A38" zoomScale="85" zoomScaleNormal="85" workbookViewId="0">
      <selection activeCell="E87" sqref="E87:I95"/>
    </sheetView>
  </sheetViews>
  <sheetFormatPr defaultColWidth="10.625" defaultRowHeight="15.75"/>
  <cols>
    <col min="1" max="1" width="66.125" bestFit="1" customWidth="1"/>
    <col min="2" max="2" width="11.125" customWidth="1"/>
    <col min="3" max="3" width="11.625" bestFit="1" customWidth="1"/>
    <col min="4" max="4" width="11" bestFit="1" customWidth="1"/>
    <col min="5" max="6" width="11.625" bestFit="1" customWidth="1"/>
    <col min="7" max="7" width="11.625" customWidth="1"/>
    <col min="10" max="10" width="32.625" customWidth="1"/>
    <col min="11" max="12" width="15" customWidth="1"/>
  </cols>
  <sheetData>
    <row r="1" spans="1:16" ht="21">
      <c r="A1" s="290" t="s">
        <v>26</v>
      </c>
      <c r="B1" s="290"/>
      <c r="C1" s="290"/>
      <c r="D1" s="290"/>
      <c r="E1" s="290"/>
      <c r="F1" s="290"/>
      <c r="G1" s="290"/>
      <c r="H1" s="290"/>
      <c r="I1" s="290"/>
      <c r="J1" s="290"/>
      <c r="K1" s="290"/>
      <c r="L1" s="290"/>
      <c r="M1" s="290"/>
      <c r="N1" s="290"/>
      <c r="O1" s="290"/>
    </row>
    <row r="2" spans="1:16">
      <c r="A2" s="291" t="s">
        <v>27</v>
      </c>
      <c r="B2" s="293" t="s">
        <v>28</v>
      </c>
      <c r="C2" s="293"/>
      <c r="D2" s="293"/>
      <c r="E2" s="293"/>
      <c r="F2" s="293"/>
      <c r="G2" s="293"/>
      <c r="H2" s="2"/>
      <c r="I2" s="2"/>
      <c r="J2" s="292" t="s">
        <v>29</v>
      </c>
      <c r="K2" s="292"/>
      <c r="L2" s="79"/>
      <c r="M2" s="18"/>
      <c r="N2" s="18"/>
      <c r="O2" s="18"/>
    </row>
    <row r="3" spans="1:16">
      <c r="A3" s="291"/>
      <c r="B3" s="293"/>
      <c r="C3" s="293"/>
      <c r="D3" s="293"/>
      <c r="E3" s="293"/>
      <c r="F3" s="293"/>
      <c r="G3" s="293"/>
      <c r="H3" s="2"/>
      <c r="I3" s="2"/>
      <c r="J3" s="292"/>
      <c r="K3" s="292"/>
      <c r="L3" s="79"/>
      <c r="M3" s="18"/>
      <c r="N3" s="18"/>
      <c r="O3" s="18"/>
    </row>
    <row r="4" spans="1:16" ht="16.5" thickBot="1">
      <c r="A4" s="291"/>
      <c r="B4" s="75">
        <v>1</v>
      </c>
      <c r="C4" s="75">
        <v>2</v>
      </c>
      <c r="D4" s="75">
        <v>3</v>
      </c>
      <c r="E4" s="75">
        <v>4</v>
      </c>
      <c r="F4" s="75">
        <v>5</v>
      </c>
      <c r="G4" s="75">
        <v>6</v>
      </c>
      <c r="H4" s="2"/>
      <c r="I4" s="2"/>
      <c r="J4" s="19" t="s">
        <v>27</v>
      </c>
      <c r="K4" s="19" t="s">
        <v>30</v>
      </c>
      <c r="L4" s="19">
        <v>2</v>
      </c>
      <c r="M4" s="19">
        <v>3</v>
      </c>
      <c r="N4" s="19">
        <v>4</v>
      </c>
      <c r="O4" s="19">
        <v>5</v>
      </c>
      <c r="P4" s="62">
        <v>6</v>
      </c>
    </row>
    <row r="5" spans="1:16">
      <c r="A5" t="s">
        <v>177</v>
      </c>
      <c r="B5" s="3">
        <f>'Finisher Model - ME Metric'!C15</f>
        <v>23</v>
      </c>
      <c r="C5" s="3">
        <f>'Finisher Model - ME Metric'!C16</f>
        <v>41</v>
      </c>
      <c r="D5" s="3">
        <f>'Finisher Model - ME Metric'!C17</f>
        <v>59</v>
      </c>
      <c r="E5" s="3">
        <f>'Finisher Model - ME Metric'!C18</f>
        <v>82</v>
      </c>
      <c r="F5" s="3">
        <f>'Finisher Model - ME Metric'!C19</f>
        <v>104</v>
      </c>
      <c r="G5" s="3" t="str">
        <f>'Finisher Model - ME Metric'!C20</f>
        <v/>
      </c>
      <c r="J5" t="s">
        <v>186</v>
      </c>
      <c r="K5" s="10">
        <f>IF('Finisher Model - ME Metric'!$E$11=2,'Current Performance - ME'!L5,IF('Finisher Model - ME Metric'!$E$11=3,'Current Performance - ME'!M5,IF('Finisher Model - ME Metric'!$E$11=4,'Current Performance - ME'!N5,IF('Finisher Model - ME Metric'!$E$11=5,'Current Performance - ME'!O5,IF('Finisher Model - ME Metric'!$E$11=6,'Current Performance - ME'!P5,"")))))</f>
        <v>0.90061361034076526</v>
      </c>
      <c r="L5">
        <f>((SUMPRODUCT($B$11:$C$11,$B$16:$C$16)/SUM($B$16:$C$16))/1000)</f>
        <v>0.88817788021150845</v>
      </c>
      <c r="M5">
        <f>((SUMPRODUCT($B$11:$D$11,$B$16:$D$16)/SUM($B$16:$D$16))/1000)</f>
        <v>0.89721774048400338</v>
      </c>
      <c r="N5">
        <f>((SUMPRODUCT($B$11:$E$11,$B$16:$E$16)/SUM($B$16:$E$16))/1000)</f>
        <v>0.90173355383467824</v>
      </c>
      <c r="O5">
        <f>((SUMPRODUCT($B$11:$F$11,$B$16:$F$16)/SUM($B$16:$F$16))/1000)</f>
        <v>0.90061361034076526</v>
      </c>
      <c r="P5" t="e">
        <f>((SUMPRODUCT($B$11:$G$11,$B$16:$G$16)/SUM($B$16:$G$16))/1000)</f>
        <v>#VALUE!</v>
      </c>
    </row>
    <row r="6" spans="1:16">
      <c r="A6" t="s">
        <v>178</v>
      </c>
      <c r="B6" s="3">
        <f>'Finisher Model - ME Metric'!D15</f>
        <v>41</v>
      </c>
      <c r="C6" s="3">
        <f>'Finisher Model - ME Metric'!D16</f>
        <v>59</v>
      </c>
      <c r="D6" s="3">
        <f>'Finisher Model - ME Metric'!D17</f>
        <v>82</v>
      </c>
      <c r="E6" s="3">
        <f>'Finisher Model - ME Metric'!D18</f>
        <v>104</v>
      </c>
      <c r="F6" s="3">
        <f>'Finisher Model - ME Metric'!D19</f>
        <v>130</v>
      </c>
      <c r="G6" s="3">
        <f>'Finisher Model - ME Metric'!D20</f>
        <v>0</v>
      </c>
      <c r="J6" t="s">
        <v>40</v>
      </c>
      <c r="K6" s="10">
        <f>IF('Finisher Model - ME Metric'!$E$11=2,'Current Performance - ME'!L6,IF('Finisher Model - ME Metric'!$E$11=3,'Current Performance - ME'!M6,IF('Finisher Model - ME Metric'!$E$11=4,'Current Performance - ME'!N6,IF('Finisher Model - ME Metric'!$E$11=5,'Current Performance - ME'!O6,IF('Finisher Model - ME Metric'!$E$11=6,'Current Performance - ME'!P6,"")))))</f>
        <v>2.6187554608089156</v>
      </c>
      <c r="L6">
        <f>SUM($B$17:$C$17)/SUM($B$19:$C$19)</f>
        <v>2.0333033797346576</v>
      </c>
      <c r="M6">
        <f>SUM($B$17:$D$17)/SUM($B$19:$D$19)</f>
        <v>2.2229568707868816</v>
      </c>
      <c r="N6">
        <f>SUM($B$17:$E$17)/SUM($B$19:$E$19)</f>
        <v>2.404364557880315</v>
      </c>
      <c r="O6">
        <f>SUM($B$17:$F$17)/SUM($B$19:$F$19)</f>
        <v>2.6187554608089156</v>
      </c>
      <c r="P6" t="e">
        <f>SUM($B$17:$G$17)/SUM($B$19:$G$19)</f>
        <v>#VALUE!</v>
      </c>
    </row>
    <row r="7" spans="1:16">
      <c r="A7" t="s">
        <v>185</v>
      </c>
      <c r="B7" s="3">
        <f>B6-B5</f>
        <v>18</v>
      </c>
      <c r="C7" s="3">
        <f t="shared" ref="C7:E7" si="0">C6-C5</f>
        <v>18</v>
      </c>
      <c r="D7" s="3">
        <f t="shared" si="0"/>
        <v>23</v>
      </c>
      <c r="E7" s="3">
        <f t="shared" si="0"/>
        <v>22</v>
      </c>
      <c r="F7" s="3">
        <f>F6-F5</f>
        <v>26</v>
      </c>
      <c r="G7" s="3" t="e">
        <f>G6-G5</f>
        <v>#VALUE!</v>
      </c>
      <c r="J7" t="s">
        <v>183</v>
      </c>
      <c r="K7" s="10">
        <f>IF('Finisher Model - ME Metric'!$E$11=2,'Current Performance - ME'!L7,IF('Finisher Model - ME Metric'!$E$11=3,'Current Performance - ME'!M7,IF('Finisher Model - ME Metric'!$E$11=4,'Current Performance - ME'!N7,IF('Finisher Model - ME Metric'!$E$11=5,'Current Performance - ME'!O7,IF('Finisher Model - ME Metric'!$E$11=6,'Current Performance - ME'!P7,"")))))</f>
        <v>2.3584868101587118</v>
      </c>
      <c r="L7">
        <f>SUM(B17:C17)/SUM(B16:C16)</f>
        <v>1.8059350856396239</v>
      </c>
      <c r="M7">
        <f>SUM(B17:D17)/SUM(B16:D16)</f>
        <v>1.9944763408007966</v>
      </c>
      <c r="N7">
        <f>SUM(B17:E17)/SUM(B16:E16)</f>
        <v>2.1680961974915616</v>
      </c>
      <c r="O7">
        <f>SUM(B17:F17)/SUM(B16:F16)</f>
        <v>2.3584868101587118</v>
      </c>
      <c r="P7" t="e">
        <f>SUM(B17:G17)/SUM(B16:G16)</f>
        <v>#VALUE!</v>
      </c>
    </row>
    <row r="8" spans="1:16">
      <c r="A8" t="s">
        <v>31</v>
      </c>
      <c r="B8" s="4">
        <f>'Finisher Model - ME Metric'!E15</f>
        <v>3300</v>
      </c>
      <c r="C8" s="4">
        <f>'Finisher Model - ME Metric'!E16</f>
        <v>3300</v>
      </c>
      <c r="D8" s="4">
        <f>'Finisher Model - ME Metric'!E17</f>
        <v>3300</v>
      </c>
      <c r="E8" s="4">
        <f>'Finisher Model - ME Metric'!E18</f>
        <v>3300</v>
      </c>
      <c r="F8" s="4">
        <f>'Finisher Model - ME Metric'!E19</f>
        <v>3300</v>
      </c>
      <c r="G8" s="4">
        <f>'Finisher Model - ME Metric'!E20</f>
        <v>0</v>
      </c>
      <c r="J8" t="s">
        <v>41</v>
      </c>
      <c r="K8" s="10">
        <f>IF('Finisher Model - ME Metric'!$E$11=2,'Current Performance - ME'!L8,IF('Finisher Model - ME Metric'!$E$11=3,'Current Performance - ME'!M8,IF('Finisher Model - ME Metric'!$E$11=4,'Current Performance - ME'!N8,IF('Finisher Model - ME Metric'!$E$11=5,'Current Performance - ME'!O8,IF('Finisher Model - ME Metric'!$E$11=6,'Current Performance - ME'!P8,"")))))</f>
        <v>118.80788694667228</v>
      </c>
      <c r="L8" s="11">
        <f>SUM(B16:C16)</f>
        <v>40.532421266139899</v>
      </c>
      <c r="M8" s="11">
        <f>SUM(B16:D16)</f>
        <v>65.758842405604355</v>
      </c>
      <c r="N8" s="11">
        <f>SUM(B16:E16)</f>
        <v>89.826977886696625</v>
      </c>
      <c r="O8" s="11">
        <f>SUM(B16:F16)</f>
        <v>118.80788694667228</v>
      </c>
      <c r="P8" s="11" t="e">
        <f>SUM(B16:G16)</f>
        <v>#VALUE!</v>
      </c>
    </row>
    <row r="9" spans="1:16">
      <c r="A9" t="s">
        <v>32</v>
      </c>
      <c r="B9" s="5">
        <f>'Finisher Model - ME Metric'!G15</f>
        <v>398.06808750000005</v>
      </c>
      <c r="C9" s="5">
        <f>'Finisher Model - ME Metric'!G16</f>
        <v>375.25047749999999</v>
      </c>
      <c r="D9" s="5">
        <f>'Finisher Model - ME Metric'!G17</f>
        <v>355.29884750000002</v>
      </c>
      <c r="E9" s="5">
        <f>'Finisher Model - ME Metric'!G18</f>
        <v>341.53387624999999</v>
      </c>
      <c r="F9" s="5">
        <f>'Finisher Model - ME Metric'!G19</f>
        <v>334.23113875000001</v>
      </c>
      <c r="G9" s="5">
        <f>'Finisher Model - ME Metric'!G20</f>
        <v>0</v>
      </c>
      <c r="J9" t="s">
        <v>184</v>
      </c>
      <c r="K9" s="10">
        <f>IF('Finisher Model - ME Metric'!$E$11=2,'Current Performance - ME'!L9,IF('Finisher Model - ME Metric'!$E$11=3,'Current Performance - ME'!M9,IF('Finisher Model - ME Metric'!$E$11=4,'Current Performance - ME'!N9,IF('Finisher Model - ME Metric'!$E$11=5,'Current Performance - ME'!O9,IF('Finisher Model - ME Metric'!$E$11=6,'Current Performance - ME'!P9,"")))))</f>
        <v>280.20683430655396</v>
      </c>
      <c r="L9" s="11">
        <f>SUM(B17:C17)</f>
        <v>73.198921670447675</v>
      </c>
      <c r="M9" s="11">
        <f>SUM(B17:D17)</f>
        <v>131.15445537642603</v>
      </c>
      <c r="N9" s="11">
        <f>SUM(B17:E17)</f>
        <v>194.75352918830552</v>
      </c>
      <c r="O9" s="11">
        <f>SUM(B17:F17)</f>
        <v>280.20683430655396</v>
      </c>
      <c r="P9" s="11">
        <f>SUM(B17:G17)</f>
        <v>-35.57642176181588</v>
      </c>
    </row>
    <row r="10" spans="1:16">
      <c r="A10" t="s">
        <v>180</v>
      </c>
      <c r="B10" s="3">
        <f>AVERAGE(B5:B6)</f>
        <v>32</v>
      </c>
      <c r="C10" s="3">
        <f t="shared" ref="C10:D10" si="1">AVERAGE(C5:C6)</f>
        <v>50</v>
      </c>
      <c r="D10" s="3">
        <f t="shared" si="1"/>
        <v>70.5</v>
      </c>
      <c r="E10" s="3">
        <f>AVERAGE(E5:E6)</f>
        <v>93</v>
      </c>
      <c r="F10" s="3">
        <f>AVERAGE(F5:F6)</f>
        <v>117</v>
      </c>
      <c r="G10" s="3">
        <f>AVERAGE(G5:G6)</f>
        <v>0</v>
      </c>
      <c r="J10" s="17" t="s">
        <v>42</v>
      </c>
      <c r="K10" s="10">
        <f>IF('Finisher Model - ME Metric'!$E$11=2,'Current Performance - ME'!L10,IF('Finisher Model - ME Metric'!$E$11=3,'Current Performance - ME'!M10,IF('Finisher Model - ME Metric'!$E$11=4,'Current Performance - ME'!N10,IF('Finisher Model - ME Metric'!$E$11=5,'Current Performance - ME'!O10,IF('Finisher Model - ME Metric'!$E$11=6,'Current Performance - ME'!P10,"")))))</f>
        <v>109.27895269984748</v>
      </c>
      <c r="L10" s="15">
        <f>SUM(B18:C18)</f>
        <v>31.137907477701997</v>
      </c>
      <c r="M10" s="15">
        <f>SUM(B18:D18)</f>
        <v>53.840811923106088</v>
      </c>
      <c r="N10" s="17">
        <f>SUM(B18:E18)</f>
        <v>77.789255368399438</v>
      </c>
      <c r="O10" s="15">
        <f>SUM(B18:F18)</f>
        <v>109.27895269984748</v>
      </c>
      <c r="P10" s="15">
        <f>SUM(B18:G18)</f>
        <v>109.27895269984748</v>
      </c>
    </row>
    <row r="11" spans="1:16" ht="16.5" thickBot="1">
      <c r="A11" t="s">
        <v>56</v>
      </c>
      <c r="B11" s="9">
        <f>IFERROR(651.36+531.33*'Finisher Model - ME Metric'!S61-216.9*('Finisher Model - ME Metric'!S61*'Finisher Model - ME Metric'!S61),"")</f>
        <v>878.15046577224609</v>
      </c>
      <c r="C11" s="9">
        <f>IFERROR(651.36+531.33*'Finisher Model - ME Metric'!S62-216.9*('Finisher Model - ME Metric'!S62*'Finisher Model - ME Metric'!S62),"")</f>
        <v>898.43694162796453</v>
      </c>
      <c r="D11" s="9">
        <f>IFERROR(651.36+531.33*'Finisher Model - ME Metric'!S63-216.9*('Finisher Model - ME Metric'!S63*'Finisher Model - ME Metric'!S63),"")</f>
        <v>911.74248906907314</v>
      </c>
      <c r="E11" s="9">
        <f>IFERROR(651.36+531.33*'Finisher Model - ME Metric'!S64-216.9*('Finisher Model - ME Metric'!S64*'Finisher Model - ME Metric'!S64),"")</f>
        <v>914.07163705235985</v>
      </c>
      <c r="F11" s="9">
        <f>IFERROR(651.36+531.33*'Finisher Model - ME Metric'!S65-216.9*('Finisher Model - ME Metric'!S65*'Finisher Model - ME Metric'!S65),"")</f>
        <v>897.14232035279861</v>
      </c>
      <c r="G11" s="9" t="str">
        <f>IFERROR(651.36+531.33*'Finisher Model - ME Metric'!S66-216.9*('Finisher Model - ME Metric'!S66*'Finisher Model - ME Metric'!S66),"")</f>
        <v/>
      </c>
      <c r="J11" s="1" t="s">
        <v>43</v>
      </c>
      <c r="K11" s="16">
        <f>IF('Finisher Model - ME Metric'!$E$11=2,'Current Performance - ME'!L11,IF('Finisher Model - ME Metric'!$E$11=3,'Current Performance - ME'!M11,IF('Finisher Model - ME Metric'!$E$11=4,'Current Performance - ME'!N11,IF('Finisher Model - ME Metric'!$E$11=5,'Current Performance - ME'!O11,IF('Finisher Model - ME Metric'!$E$11=6,'Current Performance - ME'!P11,"")))))</f>
        <v>128.28821461131506</v>
      </c>
      <c r="L11" s="16">
        <f>SUM(B21:C21)</f>
        <v>37.623094880284384</v>
      </c>
      <c r="M11" s="16">
        <f>SUM(B21:D21)</f>
        <v>64.362226708002794</v>
      </c>
      <c r="N11" s="1">
        <f>SUM(B21:E21)</f>
        <v>92.161571830270901</v>
      </c>
      <c r="O11" s="16">
        <f>SUM(B21:F21)</f>
        <v>128.28821461131506</v>
      </c>
      <c r="P11" s="10" t="e">
        <f>SUM(B21:G21)</f>
        <v>#VALUE!</v>
      </c>
    </row>
    <row r="12" spans="1:16">
      <c r="A12" t="s">
        <v>57</v>
      </c>
      <c r="B12" s="9">
        <f>IFERROR(338.34+108.98*'Finisher Model - ME Metric'!S61-46.7864*('Finisher Model - ME Metric'!S61*'Finisher Model - ME Metric'!S61),"")</f>
        <v>376.56710969242465</v>
      </c>
      <c r="C12" s="9">
        <f>IFERROR(338.34+108.98*'Finisher Model - ME Metric'!S62-46.7864*('Finisher Model - ME Metric'!S62*'Finisher Model - ME Metric'!S62),"")</f>
        <v>381.35599098648106</v>
      </c>
      <c r="D12" s="9">
        <f>IFERROR(338.34+108.98*'Finisher Model - ME Metric'!S63-46.7864*('Finisher Model - ME Metric'!S63*'Finisher Model - ME Metric'!S63),"")</f>
        <v>384.52683631699108</v>
      </c>
      <c r="E12" s="9">
        <f>IFERROR(338.34+108.98*'Finisher Model - ME Metric'!S64-46.7864*('Finisher Model - ME Metric'!S64*'Finisher Model - ME Metric'!S64),"")</f>
        <v>385.08496790117374</v>
      </c>
      <c r="F12" s="9">
        <f>IFERROR(338.34+108.98*'Finisher Model - ME Metric'!S65-46.7864*('Finisher Model - ME Metric'!S65*'Finisher Model - ME Metric'!S65),"")</f>
        <v>381.04888518841182</v>
      </c>
      <c r="G12" s="9" t="str">
        <f>IFERROR(338.34+108.98*'Finisher Model - ME Metric'!S66-46.7864*('Finisher Model - ME Metric'!S66*'Finisher Model - ME Metric'!S66),"")</f>
        <v/>
      </c>
      <c r="J12" s="17" t="s">
        <v>50</v>
      </c>
      <c r="K12" s="10">
        <f>IF('Finisher Model - ME Metric'!$E$11=2,'Current Performance - ME'!L12,IF('Finisher Model - ME Metric'!$E$11=3,'Current Performance - ME'!M12,IF('Finisher Model - ME Metric'!$E$11=4,'Current Performance - ME'!N12,IF('Finisher Model - ME Metric'!$E$11=5,'Current Performance - ME'!O12,IF('Finisher Model - ME Metric'!$E$11=6,'Current Performance - ME'!P12,"")))))</f>
        <v>195</v>
      </c>
      <c r="L12" s="17">
        <f>SUM(B19:C19,'Finisher Model - ME Metric'!C15)*'Finisher Model - ME Metric'!E7</f>
        <v>88.5</v>
      </c>
      <c r="M12" s="17">
        <f>SUM(B19:D19,'Finisher Model - ME Metric'!C15)*'Finisher Model - ME Metric'!E7</f>
        <v>123</v>
      </c>
      <c r="N12" s="17">
        <f>SUM(B19:E19,'Finisher Model - ME Metric'!C15)*'Finisher Model - ME Metric'!E7</f>
        <v>156</v>
      </c>
      <c r="O12" s="17">
        <f>SUM(B19:F19,'Finisher Model - ME Metric'!C15)*'Finisher Model - ME Metric'!E7</f>
        <v>195</v>
      </c>
      <c r="P12" s="17" t="e">
        <f>SUM(B19:G19,'Finisher Model - ME Metric'!C15)*'Finisher Model - ME Metric'!E7</f>
        <v>#VALUE!</v>
      </c>
    </row>
    <row r="13" spans="1:16">
      <c r="A13" t="s">
        <v>58</v>
      </c>
      <c r="B13" s="6">
        <f t="shared" ref="B13:G13" si="2">(B11/B12)*1000</f>
        <v>2331.9892873530794</v>
      </c>
      <c r="C13" s="6">
        <f t="shared" si="2"/>
        <v>2355.9009504581609</v>
      </c>
      <c r="D13" s="6">
        <f t="shared" si="2"/>
        <v>2371.0763539985101</v>
      </c>
      <c r="E13" s="6">
        <f t="shared" si="2"/>
        <v>2373.6881811677017</v>
      </c>
      <c r="F13" s="6">
        <f t="shared" si="2"/>
        <v>2354.4021652476467</v>
      </c>
      <c r="G13" s="6" t="e">
        <f t="shared" si="2"/>
        <v>#VALUE!</v>
      </c>
      <c r="J13" s="17" t="s">
        <v>44</v>
      </c>
      <c r="K13" s="10">
        <f>IF('Finisher Model - ME Metric'!$E$11=2,'Current Performance - ME'!L13,IF('Finisher Model - ME Metric'!$E$11=3,'Current Performance - ME'!M13,IF('Finisher Model - ME Metric'!$E$11=4,'Current Performance - ME'!N13,IF('Finisher Model - ME Metric'!$E$11=5,'Current Performance - ME'!O13,IF('Finisher Model - ME Metric'!$E$11=6,'Current Performance - ME'!P13,"")))))</f>
        <v>85.72104730015252</v>
      </c>
      <c r="L13" s="14">
        <f>L12-L10</f>
        <v>57.362092522297999</v>
      </c>
      <c r="M13" s="14">
        <f>M12-M10</f>
        <v>69.159188076893912</v>
      </c>
      <c r="N13" s="17">
        <f>N12-N10</f>
        <v>78.210744631600562</v>
      </c>
      <c r="O13" s="17">
        <f>O12-O10</f>
        <v>85.72104730015252</v>
      </c>
      <c r="P13" s="15" t="e">
        <f>P12-P10</f>
        <v>#VALUE!</v>
      </c>
    </row>
    <row r="14" spans="1:16" ht="16.5" thickBot="1">
      <c r="A14" t="s">
        <v>59</v>
      </c>
      <c r="B14" s="43">
        <f t="shared" ref="B14:G14" si="3">B13/B11</f>
        <v>2.6555691515830677</v>
      </c>
      <c r="C14" s="43">
        <f t="shared" si="3"/>
        <v>2.6222218180268464</v>
      </c>
      <c r="D14" s="43">
        <f t="shared" si="3"/>
        <v>2.6005987243387958</v>
      </c>
      <c r="E14" s="43">
        <f t="shared" si="3"/>
        <v>2.5968294879187157</v>
      </c>
      <c r="F14" s="43">
        <f t="shared" si="3"/>
        <v>2.6243351939096855</v>
      </c>
      <c r="G14" s="43" t="e">
        <f t="shared" si="3"/>
        <v>#VALUE!</v>
      </c>
      <c r="H14" s="2"/>
      <c r="J14" s="1" t="s">
        <v>45</v>
      </c>
      <c r="K14" s="16">
        <f>IF('Finisher Model - ME Metric'!$E$11=2,'Current Performance - ME'!L14,IF('Finisher Model - ME Metric'!$E$11=3,'Current Performance - ME'!M14,IF('Finisher Model - ME Metric'!$E$11=4,'Current Performance - ME'!N14,IF('Finisher Model - ME Metric'!$E$11=5,'Current Performance - ME'!O14,IF('Finisher Model - ME Metric'!$E$11=6,'Current Performance - ME'!P14,"")))))</f>
        <v>66.711785388684945</v>
      </c>
      <c r="L14" s="16">
        <f>L12-L11</f>
        <v>50.876905119715616</v>
      </c>
      <c r="M14" s="16">
        <f>M12-M11</f>
        <v>58.637773291997206</v>
      </c>
      <c r="N14" s="1">
        <f t="shared" ref="N14" si="4">N12-N11</f>
        <v>63.838428169729099</v>
      </c>
      <c r="O14" s="1">
        <f>O12-O11</f>
        <v>66.711785388684945</v>
      </c>
      <c r="P14" s="16" t="e">
        <f>P12-P11</f>
        <v>#VALUE!</v>
      </c>
    </row>
    <row r="15" spans="1:16">
      <c r="A15" t="s">
        <v>73</v>
      </c>
      <c r="B15" s="43">
        <f>IF('Finisher Model - ME Metric'!E11=2,(SUMPRODUCT(B14:C14,B16:C16)/SUM(B16:C16)),IF('Finisher Model - ME Metric'!E11=3,(SUMPRODUCT(B14:D14,B16:D16)/SUM(B16:D16)),IF('Finisher Model - ME Metric'!E11=4,(SUMPRODUCT(B14:E14,B16:E16)/SUM(B16:E16)),IF('Finisher Model - ME Metric'!E11=5,(SUMPRODUCT(B14:F14,B16:F16)/SUM(B16:F16)),IF('Finisher Model - ME Metric'!E11=6,(SUMPRODUCT(B14:G14,B16:G16)/SUM(B16:G16)),"")))))</f>
        <v>2.6187554608089165</v>
      </c>
      <c r="C15" s="74"/>
      <c r="D15" s="74"/>
      <c r="E15" s="74"/>
      <c r="F15" s="74"/>
      <c r="G15" s="74"/>
      <c r="J15" s="17" t="s">
        <v>51</v>
      </c>
      <c r="K15" s="10">
        <f>IF('Finisher Model - ME Metric'!$E$11=2,'Current Performance - ME'!L15,IF('Finisher Model - ME Metric'!$E$11=3,'Current Performance - ME'!M15,IF('Finisher Model - ME Metric'!$E$11=4,'Current Performance - ME'!N15,IF('Finisher Model - ME Metric'!$E$11=5,'Current Performance - ME'!O15,IF('Finisher Model - ME Metric'!$E$11=6,'Current Performance - ME'!P15,"")))))</f>
        <v>115.4351491646548</v>
      </c>
      <c r="L15" s="17">
        <f>C28*'Finisher Model - ME Metric'!$E$8</f>
        <v>115.4351491646548</v>
      </c>
      <c r="M15" s="17">
        <f>D28*'Finisher Model - ME Metric'!$E$8</f>
        <v>115.4351491646548</v>
      </c>
      <c r="N15" s="17">
        <f>E28*'Finisher Model - ME Metric'!$E$8</f>
        <v>115.4351491646548</v>
      </c>
      <c r="O15" s="17">
        <f>F28*'Finisher Model - ME Metric'!$E$8</f>
        <v>115.4351491646548</v>
      </c>
      <c r="P15" s="17">
        <f>G28*'Finisher Model - ME Metric'!$E$8</f>
        <v>115.4351491646548</v>
      </c>
    </row>
    <row r="16" spans="1:16">
      <c r="A16" t="s">
        <v>39</v>
      </c>
      <c r="B16" s="21">
        <f t="shared" ref="B16:G16" si="5">(CONVERT(B7,"kg","g"))/B11</f>
        <v>20.497626205972331</v>
      </c>
      <c r="C16" s="21">
        <f t="shared" si="5"/>
        <v>20.034795060167568</v>
      </c>
      <c r="D16" s="21">
        <f t="shared" si="5"/>
        <v>25.226421139464449</v>
      </c>
      <c r="E16" s="21">
        <f t="shared" si="5"/>
        <v>24.068135481092273</v>
      </c>
      <c r="F16" s="21">
        <f t="shared" si="5"/>
        <v>28.980909059975652</v>
      </c>
      <c r="G16" s="21" t="e">
        <f t="shared" si="5"/>
        <v>#VALUE!</v>
      </c>
      <c r="H16" s="11">
        <f>IF('Finisher Model - ME Metric'!E11=2,SUM(B16:C16),IF('Finisher Model - ME Metric'!E11=3,SUM(B16:D16),IF('Finisher Model - ME Metric'!E11=4,SUM(B16:E16),IF('Finisher Model - ME Metric'!E11=5,SUM(B16:F16),IF('Finisher Model - ME Metric'!E11=6,SUM(B16:G16),"")))))</f>
        <v>118.80788694667228</v>
      </c>
      <c r="J16" s="17" t="s">
        <v>52</v>
      </c>
      <c r="K16" s="10">
        <f>IF('Finisher Model - ME Metric'!$E$11=2,'Current Performance - ME'!L16,IF('Finisher Model - ME Metric'!$E$11=3,'Current Performance - ME'!M16,IF('Finisher Model - ME Metric'!$E$11=4,'Current Performance - ME'!N16,IF('Finisher Model - ME Metric'!$E$11=5,'Current Performance - ME'!O16,IF('Finisher Model - ME Metric'!$E$11=6,'Current Performance - ME'!P16,"")))))</f>
        <v>6.1561964648073229</v>
      </c>
      <c r="L16" s="15">
        <f>L15-L10</f>
        <v>84.297241686952802</v>
      </c>
      <c r="M16" s="15">
        <f>M15-M10</f>
        <v>61.594337241548715</v>
      </c>
      <c r="N16" s="15">
        <f>N15-N10</f>
        <v>37.645893796255365</v>
      </c>
      <c r="O16" s="15">
        <f>O15-O10</f>
        <v>6.1561964648073229</v>
      </c>
      <c r="P16" s="15">
        <f>P15-P10</f>
        <v>6.1561964648073229</v>
      </c>
    </row>
    <row r="17" spans="1:16" ht="16.5" thickBot="1">
      <c r="A17" t="s">
        <v>176</v>
      </c>
      <c r="B17" s="25">
        <f>CONVERT(D45,"lbm","kg")</f>
        <v>33.927820352575097</v>
      </c>
      <c r="C17" s="25">
        <f>CONVERT(D46,"lbm","kg")</f>
        <v>39.271101317872585</v>
      </c>
      <c r="D17" s="25">
        <f>CONVERT(D47,"lbm","kg")</f>
        <v>57.955533705978354</v>
      </c>
      <c r="E17" s="25">
        <f>CONVERT(D48,"lbm","kg")</f>
        <v>63.599073811879485</v>
      </c>
      <c r="F17" s="25">
        <f>CONVERT(D49,"lbm","kg")</f>
        <v>85.453305118248437</v>
      </c>
      <c r="G17" s="25">
        <f>CONVERT(D50,"lbm","kg")</f>
        <v>-315.78325606836984</v>
      </c>
      <c r="H17" s="11"/>
      <c r="J17" s="1" t="s">
        <v>53</v>
      </c>
      <c r="K17" s="16">
        <f>IF('Finisher Model - ME Metric'!$E$11=2,'Current Performance - ME'!L17,IF('Finisher Model - ME Metric'!$E$11=3,'Current Performance - ME'!M17,IF('Finisher Model - ME Metric'!$E$11=4,'Current Performance - ME'!N17,IF('Finisher Model - ME Metric'!$E$11=5,'Current Performance - ME'!O17,IF('Finisher Model - ME Metric'!$E$11=6,'Current Performance - ME'!P17,"")))))</f>
        <v>-12.853065446660253</v>
      </c>
      <c r="L17" s="16">
        <f>L15-L11</f>
        <v>77.812054284370419</v>
      </c>
      <c r="M17" s="16">
        <f>M15-M11</f>
        <v>51.072922456652009</v>
      </c>
      <c r="N17" s="1">
        <f>N15-N11</f>
        <v>23.273577334383901</v>
      </c>
      <c r="O17" s="16">
        <f>O15-O11</f>
        <v>-12.853065446660253</v>
      </c>
      <c r="P17" s="16" t="e">
        <f>P15-P11</f>
        <v>#VALUE!</v>
      </c>
    </row>
    <row r="18" spans="1:16">
      <c r="A18" t="s">
        <v>33</v>
      </c>
      <c r="B18" s="6">
        <f>(B17*(B9/907))</f>
        <v>14.890388710907548</v>
      </c>
      <c r="C18" s="6">
        <f>(C17*(C9/907))</f>
        <v>16.24751876679445</v>
      </c>
      <c r="D18" s="6">
        <f t="shared" ref="D18:G18" si="6">(D17*(D9/907))</f>
        <v>22.702904445404094</v>
      </c>
      <c r="E18" s="6">
        <f t="shared" si="6"/>
        <v>23.948443445293343</v>
      </c>
      <c r="F18" s="6">
        <f t="shared" si="6"/>
        <v>31.489697331448049</v>
      </c>
      <c r="G18" s="6">
        <f t="shared" si="6"/>
        <v>0</v>
      </c>
      <c r="H18" s="11"/>
    </row>
    <row r="19" spans="1:16">
      <c r="A19" t="s">
        <v>174</v>
      </c>
      <c r="B19" s="6">
        <f>B11/1000*B16</f>
        <v>18</v>
      </c>
      <c r="C19" s="6">
        <f t="shared" ref="C19:G19" si="7">C11/1000*C16</f>
        <v>18</v>
      </c>
      <c r="D19" s="6">
        <f t="shared" si="7"/>
        <v>23.000000000000004</v>
      </c>
      <c r="E19" s="6">
        <f t="shared" si="7"/>
        <v>22</v>
      </c>
      <c r="F19" s="6">
        <f t="shared" si="7"/>
        <v>26</v>
      </c>
      <c r="G19" s="6" t="e">
        <f t="shared" si="7"/>
        <v>#VALUE!</v>
      </c>
      <c r="H19" s="11">
        <f>IF('Finisher Model - ME Metric'!E11=2,SUM(B19:C19)+'Finisher Model - ME Metric'!C15,IF('Finisher Model - ME Metric'!E11=3,SUM(B19:D19)+'Finisher Model - ME Metric'!C15,IF('Finisher Model - ME Metric'!E11=4,SUM(B19:E19)+'Finisher Model - ME Metric'!C15,IF('Finisher Model - ME Metric'!E11=5,SUM(B19:F19)+'Finisher Model - ME Metric'!C15,IF('Finisher Model - ME Metric'!E11=6,SUM(B19:G19)+'Finisher Model - ME Metric'!C15,"")))))</f>
        <v>130</v>
      </c>
      <c r="I19" s="6"/>
      <c r="K19" s="11"/>
      <c r="L19" s="11"/>
    </row>
    <row r="20" spans="1:16">
      <c r="A20" t="s">
        <v>34</v>
      </c>
      <c r="B20" s="74">
        <f>B18/((B11/1000)*B16)</f>
        <v>0.82724381727264151</v>
      </c>
      <c r="C20" s="74">
        <f t="shared" ref="C20:G20" si="8">C18/((C11/1000)*C16)</f>
        <v>0.90263993148858057</v>
      </c>
      <c r="D20" s="74">
        <f t="shared" si="8"/>
        <v>0.98708280197409093</v>
      </c>
      <c r="E20" s="74">
        <f t="shared" si="8"/>
        <v>1.0885656111496973</v>
      </c>
      <c r="F20" s="74">
        <f t="shared" si="8"/>
        <v>1.2111422050556941</v>
      </c>
      <c r="G20" s="74" t="e">
        <f t="shared" si="8"/>
        <v>#VALUE!</v>
      </c>
      <c r="H20" s="11"/>
    </row>
    <row r="21" spans="1:16">
      <c r="A21" t="s">
        <v>35</v>
      </c>
      <c r="B21" s="74">
        <f>B18+(B16*'Finisher Model - ME Metric'!$E$10)</f>
        <v>18.170008903863121</v>
      </c>
      <c r="C21" s="74">
        <f>C18+(C16*'Finisher Model - ME Metric'!$E$10)</f>
        <v>19.45308597642126</v>
      </c>
      <c r="D21" s="74">
        <f>D18+(D16*'Finisher Model - ME Metric'!$E$10)</f>
        <v>26.739131827718406</v>
      </c>
      <c r="E21" s="74">
        <f>E18+(E16*'Finisher Model - ME Metric'!$E$10)</f>
        <v>27.799345122268107</v>
      </c>
      <c r="F21" s="74">
        <f>F18+(F16*'Finisher Model - ME Metric'!$E$10)</f>
        <v>36.126642781044154</v>
      </c>
      <c r="G21" s="74" t="e">
        <f>G18+(G16*'Finisher Model - ME Metric'!$E$10)</f>
        <v>#VALUE!</v>
      </c>
      <c r="H21" s="45"/>
      <c r="I21" s="28"/>
    </row>
    <row r="23" spans="1:16">
      <c r="A23" t="s">
        <v>55</v>
      </c>
      <c r="B23" s="74">
        <f>B19*'Finisher Model - ME Metric'!$E$7</f>
        <v>27</v>
      </c>
      <c r="C23" s="74">
        <f>C19*'Finisher Model - ME Metric'!$E$7</f>
        <v>27</v>
      </c>
      <c r="D23" s="74">
        <f>D19*'Finisher Model - ME Metric'!$E$7</f>
        <v>34.500000000000007</v>
      </c>
      <c r="E23" s="74">
        <f>E19*'Finisher Model - ME Metric'!$E$7</f>
        <v>33</v>
      </c>
      <c r="F23" s="74">
        <f>F19*'Finisher Model - ME Metric'!$E$7</f>
        <v>39</v>
      </c>
      <c r="G23" s="74" t="e">
        <f>G19*'Finisher Model - ME Metric'!$E$7</f>
        <v>#VALUE!</v>
      </c>
    </row>
    <row r="24" spans="1:16">
      <c r="A24" t="s">
        <v>37</v>
      </c>
      <c r="B24" s="74">
        <f t="shared" ref="B24:G24" si="9">B23-B18</f>
        <v>12.109611289092452</v>
      </c>
      <c r="C24" s="74">
        <f t="shared" si="9"/>
        <v>10.75248123320555</v>
      </c>
      <c r="D24" s="74">
        <f t="shared" si="9"/>
        <v>11.797095554595913</v>
      </c>
      <c r="E24" s="74">
        <f t="shared" si="9"/>
        <v>9.0515565547066572</v>
      </c>
      <c r="F24" s="74">
        <f t="shared" si="9"/>
        <v>7.5103026685519509</v>
      </c>
      <c r="G24" s="74" t="e">
        <f t="shared" si="9"/>
        <v>#VALUE!</v>
      </c>
      <c r="H24" s="10"/>
    </row>
    <row r="25" spans="1:16">
      <c r="A25" t="s">
        <v>38</v>
      </c>
      <c r="B25" s="74">
        <f>B23-B21</f>
        <v>8.8299910961368795</v>
      </c>
      <c r="C25" s="74">
        <f t="shared" ref="C25:G25" si="10">C23-C21</f>
        <v>7.54691402357874</v>
      </c>
      <c r="D25" s="74">
        <f t="shared" si="10"/>
        <v>7.7608681722816009</v>
      </c>
      <c r="E25" s="74">
        <f t="shared" si="10"/>
        <v>5.2006548777318926</v>
      </c>
      <c r="F25" s="74">
        <f t="shared" si="10"/>
        <v>2.8733572189558458</v>
      </c>
      <c r="G25" s="74" t="e">
        <f t="shared" si="10"/>
        <v>#VALUE!</v>
      </c>
    </row>
    <row r="26" spans="1:16">
      <c r="A26" t="s">
        <v>75</v>
      </c>
      <c r="B26" s="74">
        <f>'Finisher Model - ME Metric'!S61</f>
        <v>1.8990690916873938</v>
      </c>
      <c r="C26" s="74">
        <f>'Finisher Model - ME Metric'!S62</f>
        <v>1.8257206822142631</v>
      </c>
      <c r="D26" s="74">
        <f>'Finisher Model - ME Metric'!S63</f>
        <v>1.7723021589154981</v>
      </c>
      <c r="E26" s="74">
        <f>'Finisher Model - ME Metric'!S64</f>
        <v>1.7624055506082432</v>
      </c>
      <c r="F26" s="74">
        <f>'Finisher Model - ME Metric'!S65</f>
        <v>1.8306668844913085</v>
      </c>
      <c r="G26" s="74" t="str">
        <f>'Finisher Model - ME Metric'!S66</f>
        <v/>
      </c>
    </row>
    <row r="27" spans="1:16">
      <c r="A27" t="s">
        <v>76</v>
      </c>
      <c r="B27" s="74">
        <f>SUMPRODUCT(B26,B17)/SUM(B17)</f>
        <v>1.8990690916873938</v>
      </c>
      <c r="C27" s="74">
        <f>SUMPRODUCT(B26:C26,B17:C17)/SUM(B17:C17)</f>
        <v>1.8597177904087709</v>
      </c>
      <c r="D27" s="74">
        <f>SUMPRODUCT(B26:D26,B17:D17)/SUM(B17:D17)</f>
        <v>1.8210899026797782</v>
      </c>
      <c r="E27" s="74">
        <f>SUMPRODUCT(B26:E26,B17:E17)/SUM(B17:E17)</f>
        <v>1.8019258317920503</v>
      </c>
      <c r="F27" s="74">
        <f>SUMPRODUCT(B26:F26,B17:F17)/SUM(B17:F17)</f>
        <v>1.8106908497895857</v>
      </c>
      <c r="G27" s="74">
        <f>SUMPRODUCT(B26:G26,B17:G17)/SUM(B17:G17)</f>
        <v>-14.261354172272073</v>
      </c>
    </row>
    <row r="28" spans="1:16">
      <c r="A28" t="s">
        <v>158</v>
      </c>
      <c r="B28" s="74">
        <f>$H$19*$B$36/100</f>
        <v>96.195957637212345</v>
      </c>
      <c r="C28" s="237">
        <f>$H$19*$B$36/100</f>
        <v>96.195957637212345</v>
      </c>
      <c r="D28" s="237">
        <f t="shared" ref="D28:G28" si="11">$H$19*$B$36/100</f>
        <v>96.195957637212345</v>
      </c>
      <c r="E28" s="237">
        <f t="shared" si="11"/>
        <v>96.195957637212345</v>
      </c>
      <c r="F28" s="237">
        <f>$H$19*$B$36/100</f>
        <v>96.195957637212345</v>
      </c>
      <c r="G28" s="237">
        <f t="shared" si="11"/>
        <v>96.195957637212345</v>
      </c>
    </row>
    <row r="29" spans="1:16">
      <c r="A29" t="s">
        <v>155</v>
      </c>
      <c r="B29" s="74">
        <f>(VLOOKUP($H$19,$C$57:$I$96,7,TRUE))*100</f>
        <v>74.922166093909382</v>
      </c>
      <c r="C29" s="74">
        <f t="shared" ref="C29:D29" si="12">(VLOOKUP($H$19,$C$57:$I$96,7,TRUE))*100</f>
        <v>74.922166093909382</v>
      </c>
      <c r="D29" s="74">
        <f t="shared" si="12"/>
        <v>74.922166093909382</v>
      </c>
      <c r="E29" s="74">
        <f>(VLOOKUP($H$19,$C$57:$I$96,7,TRUE))*100</f>
        <v>74.922166093909382</v>
      </c>
      <c r="F29" s="74">
        <f>(VLOOKUP($H$19,$C$57:$I$96,7,TRUE))*100</f>
        <v>74.922166093909382</v>
      </c>
      <c r="G29" s="74">
        <f>(VLOOKUP($H$19,$C$57:$I$96,7,TRUE))*100</f>
        <v>74.922166093909382</v>
      </c>
    </row>
    <row r="30" spans="1:16">
      <c r="A30" t="s">
        <v>90</v>
      </c>
      <c r="B30" s="6">
        <f>'Finisher Model - ME Metric'!E9</f>
        <v>75</v>
      </c>
      <c r="C30" s="74"/>
      <c r="D30" s="74"/>
      <c r="E30" s="74"/>
      <c r="F30" s="74"/>
      <c r="G30" s="74"/>
    </row>
    <row r="31" spans="1:16">
      <c r="A31" t="s">
        <v>91</v>
      </c>
      <c r="B31" s="53">
        <f>B30/B29</f>
        <v>1.0010388635319627</v>
      </c>
      <c r="C31" s="9"/>
      <c r="D31" s="9"/>
      <c r="E31" s="9"/>
      <c r="F31" s="9"/>
      <c r="G31" s="9"/>
    </row>
    <row r="32" spans="1:16">
      <c r="A32" s="52" t="s">
        <v>151</v>
      </c>
      <c r="B32" s="74">
        <f>'Finisher Model - ME Metric'!S61</f>
        <v>1.8990690916873938</v>
      </c>
      <c r="C32" s="74">
        <f>'Finisher Model - ME Metric'!S62</f>
        <v>1.8257206822142631</v>
      </c>
      <c r="D32" s="74">
        <f>'Finisher Model - ME Metric'!S63</f>
        <v>1.7723021589154981</v>
      </c>
      <c r="E32" s="74">
        <f>'Finisher Model - ME Metric'!S64</f>
        <v>1.7624055506082432</v>
      </c>
      <c r="F32" s="74">
        <f>'Finisher Model - ME Metric'!S65</f>
        <v>1.8306668844913085</v>
      </c>
      <c r="G32" s="74" t="str">
        <f>'Finisher Model - ME Metric'!S66</f>
        <v/>
      </c>
      <c r="H32" s="74">
        <f>IF('Finisher Model - ME Metric'!E11=2,(SUMPRODUCT(B32:C32,B16:C16)/SUM(B16:C16)),IF('Finisher Model - ME Metric'!E11=3,(SUMPRODUCT(B32:D32,B16:D16)/SUM(B16:D16)),IF('Finisher Model - ME Metric'!E11=4,(SUMPRODUCT(B32:E32,B16:E16)/SUM(B16:E16)),IF('Finisher Model - ME Metric'!E11=5,(SUMPRODUCT(B32:F32,B16:F16)/SUM(B16:F16)),IF('Finisher Model - ME Metric'!E11=6,(SUMPRODUCT(B32:G32,B16:G16)/SUM(B16:G16)),"")))))</f>
        <v>1.8154131037884016</v>
      </c>
    </row>
    <row r="33" spans="1:10">
      <c r="A33" t="s">
        <v>152</v>
      </c>
      <c r="B33" s="74">
        <f>73.859-1.19192*H32</f>
        <v>71.695172813332519</v>
      </c>
      <c r="C33" s="5"/>
      <c r="D33" s="5"/>
      <c r="E33" s="5"/>
      <c r="F33" s="5"/>
      <c r="G33" s="5"/>
    </row>
    <row r="34" spans="1:10">
      <c r="A34" t="s">
        <v>154</v>
      </c>
      <c r="B34" s="74">
        <f>73.859-1.19192*1</f>
        <v>72.667079999999999</v>
      </c>
      <c r="C34" s="6"/>
    </row>
    <row r="35" spans="1:10">
      <c r="A35" t="s">
        <v>156</v>
      </c>
      <c r="B35" s="53">
        <f>B33/$B$34</f>
        <v>0.98662520653551122</v>
      </c>
    </row>
    <row r="36" spans="1:10">
      <c r="A36" t="s">
        <v>157</v>
      </c>
      <c r="B36" s="238">
        <f>(VLOOKUP($H$19,$C$57:$K$96,9,TRUE))</f>
        <v>73.996890490163338</v>
      </c>
      <c r="C36" s="74">
        <f t="shared" ref="C36:G36" si="13">(VLOOKUP($H$19,$C$57:$K$96,9,TRUE))</f>
        <v>73.996890490163338</v>
      </c>
      <c r="D36" s="74">
        <f t="shared" si="13"/>
        <v>73.996890490163338</v>
      </c>
      <c r="E36" s="74">
        <f t="shared" si="13"/>
        <v>73.996890490163338</v>
      </c>
      <c r="F36" s="74">
        <f t="shared" si="13"/>
        <v>73.996890490163338</v>
      </c>
      <c r="G36" s="74">
        <f t="shared" si="13"/>
        <v>73.996890490163338</v>
      </c>
    </row>
    <row r="38" spans="1:10" ht="16.5" thickBot="1"/>
    <row r="39" spans="1:10" ht="16.5" thickBot="1">
      <c r="B39" s="287" t="s">
        <v>61</v>
      </c>
      <c r="C39" s="288"/>
      <c r="D39" s="288"/>
      <c r="E39" s="289"/>
      <c r="J39" t="s">
        <v>149</v>
      </c>
    </row>
    <row r="40" spans="1:10" ht="16.5" thickBot="1">
      <c r="B40" s="287" t="s">
        <v>62</v>
      </c>
      <c r="C40" s="288"/>
      <c r="D40" s="288"/>
      <c r="E40" s="289"/>
      <c r="J40" t="s">
        <v>150</v>
      </c>
    </row>
    <row r="41" spans="1:10" ht="16.5" thickBot="1">
      <c r="B41" s="38" t="s">
        <v>63</v>
      </c>
      <c r="C41" s="38" t="s">
        <v>64</v>
      </c>
      <c r="D41" s="38" t="s">
        <v>65</v>
      </c>
      <c r="E41" s="29"/>
    </row>
    <row r="42" spans="1:10" ht="16.5" thickBot="1">
      <c r="B42" s="39">
        <f>CONVERT('Finisher Model - ME Metric'!C15,"kg","lbm")</f>
        <v>50.706320302521839</v>
      </c>
      <c r="C42" s="39">
        <f>CONVERT(IF('Finisher Model - ME Metric'!$E$11=2,'Finisher Model - ME Metric'!D16,IF('Finisher Model - ME Metric'!$E$11=3,'Finisher Model - ME Metric'!D17,IF('Finisher Model - ME Metric'!$E$11=4,'Finisher Model - ME Metric'!D18,IF('Finisher Model - ME Metric'!$E$11=5,'Finisher Model - ME Metric'!D19,IF('Finisher Model - ME Metric'!$E$11=6,'Finisher Model - ME Metric'!D20,""))))),"kg","lbm")</f>
        <v>286.6009408403408</v>
      </c>
      <c r="D42" s="44">
        <f>B15</f>
        <v>2.6187554608089165</v>
      </c>
      <c r="E42" s="32"/>
    </row>
    <row r="43" spans="1:10">
      <c r="B43" s="33"/>
      <c r="C43" s="17"/>
      <c r="D43" s="17"/>
      <c r="E43" s="32"/>
    </row>
    <row r="44" spans="1:10">
      <c r="B44" s="34" t="s">
        <v>63</v>
      </c>
      <c r="C44" s="31" t="s">
        <v>64</v>
      </c>
      <c r="D44" s="41" t="s">
        <v>66</v>
      </c>
      <c r="E44" s="35">
        <f>IF(B45=0,F44,((0.00463*B45^2 + 1.68*B45 - 22.05)/(((0.00463*C42^2 + 1.68*C42 - 22.05)-(0.00463*B42^2 + 1.68*B42 - 22.05))/(C42-B42))*D42))</f>
        <v>60.620023872165248</v>
      </c>
    </row>
    <row r="45" spans="1:10">
      <c r="A45">
        <v>1</v>
      </c>
      <c r="B45" s="30">
        <f>CONVERT('Finisher Model - ME Metric'!C15,"kg","lbm")</f>
        <v>50.706320302521839</v>
      </c>
      <c r="C45" s="36">
        <f>CONVERT('Finisher Model - ME Metric'!D15,"kg","lbm")</f>
        <v>90.389527495799797</v>
      </c>
      <c r="D45" s="42">
        <f>IF(C45="","",(E45-E44))</f>
        <v>74.798040259308365</v>
      </c>
      <c r="E45" s="35">
        <f t="shared" ref="E45:E50" si="14">IF(B46="","",((0.00463*B46^2 + 1.68*B46 - 22.05)/(((0.00463*$C$42^2 + 1.68*$C$42 - 22.05)-(0.00463*$B$42^2 + 1.68*$B$42 - 22.05))/($C$42-$B$42))*$D$42))</f>
        <v>135.41806413147361</v>
      </c>
    </row>
    <row r="46" spans="1:10">
      <c r="A46">
        <v>2</v>
      </c>
      <c r="B46" s="30">
        <f t="shared" ref="B46:B51" si="15">C45</f>
        <v>90.389527495799797</v>
      </c>
      <c r="C46" s="36">
        <f>CONVERT('Finisher Model - ME Metric'!D16,"kg","lbm")</f>
        <v>130.07273468907778</v>
      </c>
      <c r="D46" s="42">
        <f t="shared" ref="D46:D47" si="16">IF(C46="","",(E46-E45))</f>
        <v>86.577958350297166</v>
      </c>
      <c r="E46" s="35">
        <f t="shared" si="14"/>
        <v>221.99602248177078</v>
      </c>
    </row>
    <row r="47" spans="1:10" ht="17.100000000000001" customHeight="1">
      <c r="A47">
        <v>3</v>
      </c>
      <c r="B47" s="30">
        <f t="shared" si="15"/>
        <v>130.07273468907778</v>
      </c>
      <c r="C47" s="36">
        <f>CONVERT('Finisher Model - ME Metric'!D17,"kg","lbm")</f>
        <v>180.77905499159959</v>
      </c>
      <c r="D47" s="42">
        <f t="shared" si="16"/>
        <v>127.7700806695191</v>
      </c>
      <c r="E47" s="35">
        <f t="shared" si="14"/>
        <v>349.76610315128988</v>
      </c>
    </row>
    <row r="48" spans="1:10" ht="18" customHeight="1">
      <c r="A48">
        <v>4</v>
      </c>
      <c r="B48" s="30">
        <f t="shared" si="15"/>
        <v>180.77905499159959</v>
      </c>
      <c r="C48" s="36">
        <f>CONVERT('Finisher Model - ME Metric'!D18,"kg","lbm")</f>
        <v>229.28075267227268</v>
      </c>
      <c r="D48" s="42">
        <f>IF(C48="","",(E48-E47))</f>
        <v>140.21195685429956</v>
      </c>
      <c r="E48" s="35">
        <f t="shared" si="14"/>
        <v>489.97806000558944</v>
      </c>
    </row>
    <row r="49" spans="1:11">
      <c r="A49">
        <v>5</v>
      </c>
      <c r="B49" s="30">
        <f t="shared" si="15"/>
        <v>229.28075267227268</v>
      </c>
      <c r="C49" s="36">
        <f>CONVERT('Finisher Model - ME Metric'!D19,"kg","lbm")</f>
        <v>286.6009408403408</v>
      </c>
      <c r="D49" s="42">
        <f>IF(C49="","",(E49-E48))</f>
        <v>188.39228957543628</v>
      </c>
      <c r="E49" s="35">
        <f t="shared" si="14"/>
        <v>678.37034958102572</v>
      </c>
    </row>
    <row r="50" spans="1:11" ht="16.5" thickBot="1">
      <c r="A50">
        <v>6</v>
      </c>
      <c r="B50" s="37">
        <f t="shared" si="15"/>
        <v>286.6009408403408</v>
      </c>
      <c r="C50" s="60">
        <f>CONVERT('Finisher Model - ME Metric'!D20,"kg","lbm")</f>
        <v>0</v>
      </c>
      <c r="D50" s="61">
        <f>IF(C50="","",(E50-E49))</f>
        <v>-696.18290992939285</v>
      </c>
      <c r="E50" s="64">
        <f t="shared" si="14"/>
        <v>-17.812560348367086</v>
      </c>
    </row>
    <row r="51" spans="1:11">
      <c r="B51" s="3">
        <f t="shared" si="15"/>
        <v>0</v>
      </c>
    </row>
    <row r="55" spans="1:11" ht="90">
      <c r="B55" s="47" t="s">
        <v>77</v>
      </c>
      <c r="C55" s="47" t="s">
        <v>78</v>
      </c>
      <c r="D55" s="76" t="s">
        <v>79</v>
      </c>
      <c r="E55" s="76"/>
      <c r="F55" s="76"/>
      <c r="G55" s="76"/>
      <c r="H55" s="5"/>
      <c r="I55" s="77" t="s">
        <v>80</v>
      </c>
    </row>
    <row r="56" spans="1:11">
      <c r="B56" s="48" t="s">
        <v>81</v>
      </c>
      <c r="C56" s="48" t="s">
        <v>81</v>
      </c>
      <c r="D56" s="48" t="s">
        <v>82</v>
      </c>
      <c r="E56" s="48" t="s">
        <v>83</v>
      </c>
      <c r="F56" s="48" t="s">
        <v>84</v>
      </c>
      <c r="G56" s="48"/>
      <c r="I56" s="78"/>
      <c r="J56" s="48" t="s">
        <v>92</v>
      </c>
      <c r="K56" t="s">
        <v>153</v>
      </c>
    </row>
    <row r="57" spans="1:11">
      <c r="B57" s="47">
        <v>81</v>
      </c>
      <c r="C57" s="49">
        <v>110.17670623134534</v>
      </c>
      <c r="D57" s="6">
        <v>16.864782047899471</v>
      </c>
      <c r="E57" s="6">
        <v>14.510728742835685</v>
      </c>
      <c r="F57" s="49">
        <v>15.687755395367578</v>
      </c>
      <c r="G57" s="49"/>
      <c r="I57" s="51">
        <v>0.73518262408316082</v>
      </c>
      <c r="J57" s="50">
        <f>($B$31*I57)*100</f>
        <v>73.594637850065354</v>
      </c>
      <c r="K57" s="6">
        <f t="shared" ref="K57:K96" si="17">J57*$B$35</f>
        <v>72.610324768726883</v>
      </c>
    </row>
    <row r="58" spans="1:11">
      <c r="B58" s="47">
        <v>82</v>
      </c>
      <c r="C58" s="49">
        <v>111.4039519642067</v>
      </c>
      <c r="D58" s="6">
        <v>17.074455706764272</v>
      </c>
      <c r="E58" s="6">
        <v>14.613701440729169</v>
      </c>
      <c r="F58" s="49">
        <v>15.844078573746721</v>
      </c>
      <c r="G58" s="49"/>
      <c r="H58" s="50"/>
      <c r="I58" s="51">
        <v>0.73606006388665657</v>
      </c>
      <c r="J58" s="50">
        <f t="shared" ref="J58:J96" si="18">($B$31*I58)*100</f>
        <v>73.682472984436259</v>
      </c>
      <c r="K58" s="6">
        <f t="shared" si="17"/>
        <v>72.696985126316648</v>
      </c>
    </row>
    <row r="59" spans="1:11">
      <c r="B59" s="47">
        <v>83</v>
      </c>
      <c r="C59" s="49">
        <v>112.6282752396024</v>
      </c>
      <c r="D59" s="6">
        <v>17.284147265806148</v>
      </c>
      <c r="E59" s="6">
        <v>14.71614342750836</v>
      </c>
      <c r="F59" s="49">
        <v>16.000145346657256</v>
      </c>
      <c r="G59" s="49"/>
      <c r="H59" s="50"/>
      <c r="I59" s="51">
        <v>0.73693750369015243</v>
      </c>
      <c r="J59" s="50">
        <f t="shared" si="18"/>
        <v>73.770308118807165</v>
      </c>
      <c r="K59" s="6">
        <f t="shared" si="17"/>
        <v>72.783645483906426</v>
      </c>
    </row>
    <row r="60" spans="1:11">
      <c r="B60" s="47">
        <v>84</v>
      </c>
      <c r="C60" s="49">
        <v>113.84968648405146</v>
      </c>
      <c r="D60" s="6">
        <v>17.493856510850449</v>
      </c>
      <c r="E60" s="6">
        <v>14.81806378371237</v>
      </c>
      <c r="F60" s="49">
        <v>16.155960147281409</v>
      </c>
      <c r="G60" s="49"/>
      <c r="H60" s="50"/>
      <c r="I60" s="51">
        <v>0.73781494349364829</v>
      </c>
      <c r="J60" s="50">
        <f t="shared" si="18"/>
        <v>73.858143253178099</v>
      </c>
      <c r="K60" s="6">
        <f t="shared" si="17"/>
        <v>72.870305841496219</v>
      </c>
    </row>
    <row r="61" spans="1:11">
      <c r="B61" s="47">
        <v>85</v>
      </c>
      <c r="C61" s="49">
        <v>115.06819607453319</v>
      </c>
      <c r="D61" s="6">
        <v>17.703583232804778</v>
      </c>
      <c r="E61" s="6">
        <v>14.919471328516645</v>
      </c>
      <c r="F61" s="49">
        <v>16.311527280660712</v>
      </c>
      <c r="G61" s="49"/>
      <c r="H61" s="50"/>
      <c r="I61" s="51">
        <v>0.73869238329714404</v>
      </c>
      <c r="J61" s="50">
        <f t="shared" si="18"/>
        <v>73.945978387549005</v>
      </c>
      <c r="K61" s="6">
        <f t="shared" si="17"/>
        <v>72.956966199085983</v>
      </c>
    </row>
    <row r="62" spans="1:11">
      <c r="B62" s="47">
        <v>86</v>
      </c>
      <c r="C62" s="49">
        <v>116.28381433878111</v>
      </c>
      <c r="D62" s="6">
        <v>17.913327227479776</v>
      </c>
      <c r="E62" s="6">
        <v>15.020374630235036</v>
      </c>
      <c r="F62" s="49">
        <v>16.466850928857404</v>
      </c>
      <c r="G62" s="49"/>
      <c r="H62" s="49"/>
      <c r="I62" s="51">
        <v>0.7395698231006399</v>
      </c>
      <c r="J62" s="50">
        <f t="shared" si="18"/>
        <v>74.033813521919924</v>
      </c>
      <c r="K62" s="6">
        <f t="shared" si="17"/>
        <v>73.043626556675775</v>
      </c>
    </row>
    <row r="63" spans="1:11">
      <c r="B63" s="47">
        <v>87</v>
      </c>
      <c r="C63" s="49">
        <v>117.49655155557477</v>
      </c>
      <c r="D63" s="6">
        <v>18.123088295418643</v>
      </c>
      <c r="E63" s="6">
        <v>15.120782016283018</v>
      </c>
      <c r="F63" s="49">
        <v>16.621935155850831</v>
      </c>
      <c r="G63" s="49"/>
      <c r="H63" s="49"/>
      <c r="I63" s="51">
        <v>0.74044726290413565</v>
      </c>
      <c r="J63" s="50">
        <f t="shared" si="18"/>
        <v>74.121648656290844</v>
      </c>
      <c r="K63" s="6">
        <f t="shared" si="17"/>
        <v>73.130286914265554</v>
      </c>
    </row>
    <row r="64" spans="1:11">
      <c r="B64" s="47">
        <v>88</v>
      </c>
      <c r="C64" s="49">
        <v>118.70641795502937</v>
      </c>
      <c r="D64" s="6">
        <v>18.332866241734184</v>
      </c>
      <c r="E64" s="6">
        <v>15.220701582635391</v>
      </c>
      <c r="F64" s="49">
        <v>16.776783912184786</v>
      </c>
      <c r="G64" s="49"/>
      <c r="H64" s="49"/>
      <c r="I64" s="51">
        <v>0.74132470270763151</v>
      </c>
      <c r="J64" s="50">
        <f t="shared" si="18"/>
        <v>74.20948379066175</v>
      </c>
      <c r="K64" s="6">
        <f t="shared" si="17"/>
        <v>73.216947271855318</v>
      </c>
    </row>
    <row r="65" spans="2:11">
      <c r="B65" s="47">
        <v>89</v>
      </c>
      <c r="C65" s="49">
        <v>119.91342371888354</v>
      </c>
      <c r="D65" s="6">
        <v>18.542660875953423</v>
      </c>
      <c r="E65" s="6">
        <v>15.320141202809715</v>
      </c>
      <c r="F65" s="49">
        <v>16.931401039381569</v>
      </c>
      <c r="G65" s="49"/>
      <c r="H65" s="49"/>
      <c r="I65" s="51">
        <v>0.74220214251112737</v>
      </c>
      <c r="J65" s="50">
        <f t="shared" si="18"/>
        <v>74.29731892503267</v>
      </c>
      <c r="K65" s="6">
        <f t="shared" si="17"/>
        <v>73.303607629445111</v>
      </c>
    </row>
    <row r="66" spans="2:11">
      <c r="B66" s="5">
        <v>90</v>
      </c>
      <c r="C66" s="49">
        <v>121.11757898078487</v>
      </c>
      <c r="D66" s="6">
        <v>18.752472011869195</v>
      </c>
      <c r="E66" s="6">
        <v>15.419108536404257</v>
      </c>
      <c r="F66" s="49">
        <v>17.085790274136727</v>
      </c>
      <c r="G66" s="49"/>
      <c r="H66" s="6"/>
      <c r="I66" s="51">
        <v>0.74307958231462312</v>
      </c>
      <c r="J66" s="50">
        <f t="shared" si="18"/>
        <v>74.38515405940359</v>
      </c>
      <c r="K66" s="6">
        <f t="shared" si="17"/>
        <v>73.390267987034889</v>
      </c>
    </row>
    <row r="67" spans="2:11">
      <c r="B67" s="5">
        <v>91</v>
      </c>
      <c r="C67" s="49">
        <v>122.31889382657351</v>
      </c>
      <c r="D67" s="6">
        <v>18.962299467398132</v>
      </c>
      <c r="E67" s="6">
        <v>15.517611037217174</v>
      </c>
      <c r="F67" s="49">
        <v>17.239955252307652</v>
      </c>
      <c r="G67" s="49"/>
      <c r="H67" s="6"/>
      <c r="I67" s="51">
        <v>0.74395702211811898</v>
      </c>
      <c r="J67" s="50">
        <f t="shared" si="18"/>
        <v>74.472989193774509</v>
      </c>
      <c r="K67" s="6">
        <f t="shared" si="17"/>
        <v>73.476928344624667</v>
      </c>
    </row>
    <row r="68" spans="2:11">
      <c r="B68" s="5">
        <v>92</v>
      </c>
      <c r="C68" s="49">
        <v>123.51737829456385</v>
      </c>
      <c r="D68" s="6">
        <v>19.172143064445141</v>
      </c>
      <c r="E68" s="6">
        <v>15.615655960971905</v>
      </c>
      <c r="F68" s="49">
        <v>17.393899512708522</v>
      </c>
      <c r="G68" s="49"/>
      <c r="H68" s="6"/>
      <c r="I68" s="51">
        <v>0.74483446192161473</v>
      </c>
      <c r="J68" s="50">
        <f t="shared" si="18"/>
        <v>74.560824328145415</v>
      </c>
      <c r="K68" s="6">
        <f t="shared" si="17"/>
        <v>73.563588702214446</v>
      </c>
    </row>
    <row r="69" spans="2:11">
      <c r="B69" s="5">
        <v>93</v>
      </c>
      <c r="C69" s="49">
        <v>124.71304237582397</v>
      </c>
      <c r="D69" s="6">
        <v>19.382002628773577</v>
      </c>
      <c r="E69" s="6">
        <v>15.713250372671933</v>
      </c>
      <c r="F69" s="49">
        <v>17.547626500722757</v>
      </c>
      <c r="G69" s="49"/>
      <c r="H69" s="6"/>
      <c r="I69" s="51">
        <v>0.74571190172511059</v>
      </c>
      <c r="J69" s="50">
        <f t="shared" si="18"/>
        <v>74.648659462516335</v>
      </c>
      <c r="K69" s="6">
        <f t="shared" si="17"/>
        <v>73.650249059804224</v>
      </c>
    </row>
    <row r="70" spans="2:11">
      <c r="B70" s="5">
        <v>94</v>
      </c>
      <c r="C70" s="49">
        <v>125.90589601445348</v>
      </c>
      <c r="D70" s="6">
        <v>19.591877989881006</v>
      </c>
      <c r="E70" s="6">
        <v>15.81040115360647</v>
      </c>
      <c r="F70" s="49">
        <v>17.701139571743738</v>
      </c>
      <c r="G70" s="49"/>
      <c r="H70" s="6"/>
      <c r="I70" s="51">
        <v>0.74658934152860634</v>
      </c>
      <c r="J70" s="50">
        <f t="shared" si="18"/>
        <v>74.736494596887255</v>
      </c>
      <c r="K70" s="6">
        <f t="shared" si="17"/>
        <v>73.736909417394003</v>
      </c>
    </row>
    <row r="71" spans="2:11">
      <c r="B71" s="5">
        <v>95</v>
      </c>
      <c r="C71" s="49">
        <v>127.09594910785896</v>
      </c>
      <c r="D71" s="6">
        <v>19.80176898088045</v>
      </c>
      <c r="E71" s="6">
        <v>15.907115008027194</v>
      </c>
      <c r="F71" s="49">
        <v>17.854441994453822</v>
      </c>
      <c r="G71" s="49"/>
      <c r="H71" s="6"/>
      <c r="I71" s="51">
        <v>0.7474667813321022</v>
      </c>
      <c r="J71" s="50">
        <f t="shared" si="18"/>
        <v>74.82432973125816</v>
      </c>
      <c r="K71" s="6">
        <f t="shared" si="17"/>
        <v>73.823569774983781</v>
      </c>
    </row>
    <row r="72" spans="2:11">
      <c r="B72" s="5">
        <v>96</v>
      </c>
      <c r="C72" s="49">
        <v>128.28321150702794</v>
      </c>
      <c r="D72" s="6">
        <v>20.011675438386312</v>
      </c>
      <c r="E72" s="6">
        <v>16.003398469514622</v>
      </c>
      <c r="F72" s="49">
        <v>18.007536953950467</v>
      </c>
      <c r="G72" s="49"/>
      <c r="H72" s="6"/>
      <c r="I72" s="51">
        <v>0.74834422113559795</v>
      </c>
      <c r="J72" s="50">
        <f t="shared" si="18"/>
        <v>74.912164865629066</v>
      </c>
      <c r="K72" s="6">
        <f t="shared" si="17"/>
        <v>73.910230132573545</v>
      </c>
    </row>
    <row r="73" spans="2:11">
      <c r="B73" s="5">
        <v>97</v>
      </c>
      <c r="C73" s="49">
        <v>129.46769301680052</v>
      </c>
      <c r="D73" s="6">
        <v>20.221597202405267</v>
      </c>
      <c r="E73" s="6">
        <v>16.099257907051943</v>
      </c>
      <c r="F73" s="49">
        <v>18.160427554728606</v>
      </c>
      <c r="G73" s="49"/>
      <c r="H73" s="6"/>
      <c r="I73" s="51">
        <v>0.74922166093909381</v>
      </c>
      <c r="J73" s="50">
        <f t="shared" si="18"/>
        <v>75</v>
      </c>
      <c r="K73" s="6">
        <f t="shared" si="17"/>
        <v>73.996890490163338</v>
      </c>
    </row>
    <row r="74" spans="2:11">
      <c r="B74" s="5">
        <v>98</v>
      </c>
      <c r="C74" s="49">
        <v>130.64940339613941</v>
      </c>
      <c r="D74" s="6">
        <v>20.43153411623155</v>
      </c>
      <c r="E74" s="6">
        <v>16.194699530822238</v>
      </c>
      <c r="F74" s="49">
        <v>18.313116823526894</v>
      </c>
      <c r="G74" s="49"/>
      <c r="H74" s="6"/>
      <c r="I74" s="51">
        <v>0.75009910074258968</v>
      </c>
      <c r="J74" s="50">
        <f t="shared" si="18"/>
        <v>75.08783513437092</v>
      </c>
      <c r="K74" s="6">
        <f t="shared" si="17"/>
        <v>74.083550847753131</v>
      </c>
    </row>
    <row r="75" spans="2:11">
      <c r="B75" s="5">
        <v>99</v>
      </c>
      <c r="C75" s="49">
        <v>131.82835235839786</v>
      </c>
      <c r="D75" s="6">
        <v>20.641486026346577</v>
      </c>
      <c r="E75" s="6">
        <v>16.289729397744711</v>
      </c>
      <c r="F75" s="49">
        <v>18.465607712045646</v>
      </c>
      <c r="G75" s="49"/>
      <c r="H75" s="6"/>
      <c r="I75" s="51">
        <v>0.75097654054608542</v>
      </c>
      <c r="J75" s="50">
        <f t="shared" si="18"/>
        <v>75.175670268741825</v>
      </c>
      <c r="K75" s="6">
        <f t="shared" si="17"/>
        <v>74.170211205342895</v>
      </c>
    </row>
    <row r="76" spans="2:11">
      <c r="B76" s="5">
        <v>100</v>
      </c>
      <c r="C76" s="49">
        <v>133.00454957158581</v>
      </c>
      <c r="D76" s="6">
        <v>20.851452782322603</v>
      </c>
      <c r="E76" s="6">
        <v>16.384353416763961</v>
      </c>
      <c r="F76" s="49">
        <v>18.617903099543284</v>
      </c>
      <c r="G76" s="49"/>
      <c r="H76" s="6"/>
      <c r="I76" s="51">
        <v>0.75185398034958129</v>
      </c>
      <c r="J76" s="50">
        <f t="shared" si="18"/>
        <v>75.263505403112745</v>
      </c>
      <c r="K76" s="6">
        <f t="shared" si="17"/>
        <v>74.256871562932673</v>
      </c>
    </row>
    <row r="77" spans="2:11">
      <c r="B77" s="5">
        <v>101</v>
      </c>
      <c r="C77" s="49">
        <v>134.17800465863434</v>
      </c>
      <c r="D77" s="6">
        <v>21.061434236730111</v>
      </c>
      <c r="E77" s="6">
        <v>16.478577353905742</v>
      </c>
      <c r="F77" s="49">
        <v>18.770005795317928</v>
      </c>
      <c r="G77" s="49"/>
      <c r="H77" s="6"/>
      <c r="I77" s="51">
        <v>0.75273142015307704</v>
      </c>
      <c r="J77" s="50">
        <f t="shared" si="18"/>
        <v>75.351340537483651</v>
      </c>
      <c r="K77" s="6">
        <f t="shared" si="17"/>
        <v>74.343531920522452</v>
      </c>
    </row>
    <row r="78" spans="2:11">
      <c r="B78" s="5">
        <v>102</v>
      </c>
      <c r="C78" s="49">
        <v>135.34872719765769</v>
      </c>
      <c r="D78" s="6">
        <v>21.27143024504899</v>
      </c>
      <c r="E78" s="6">
        <v>16.572406837111849</v>
      </c>
      <c r="F78" s="49">
        <v>18.921918541080419</v>
      </c>
      <c r="G78" s="49"/>
      <c r="H78" s="6"/>
      <c r="I78" s="51">
        <v>0.7536088599565729</v>
      </c>
      <c r="J78" s="50">
        <f t="shared" si="18"/>
        <v>75.439175671854571</v>
      </c>
      <c r="K78" s="6">
        <f t="shared" si="17"/>
        <v>74.43019227811223</v>
      </c>
    </row>
    <row r="79" spans="2:11">
      <c r="B79" s="5">
        <v>103</v>
      </c>
      <c r="C79" s="49">
        <v>136.51672672221434</v>
      </c>
      <c r="D79" s="6">
        <v>21.481440665583278</v>
      </c>
      <c r="E79" s="6">
        <v>16.665847360865602</v>
      </c>
      <c r="F79" s="49">
        <v>19.073644013224438</v>
      </c>
      <c r="G79" s="49"/>
      <c r="H79" s="6"/>
      <c r="I79" s="51">
        <v>0.75448629976006876</v>
      </c>
      <c r="J79" s="50">
        <f t="shared" si="18"/>
        <v>75.527010806225491</v>
      </c>
      <c r="K79" s="6">
        <f t="shared" si="17"/>
        <v>74.516852635702008</v>
      </c>
    </row>
    <row r="80" spans="2:11">
      <c r="B80" s="5">
        <v>104</v>
      </c>
      <c r="C80" s="49">
        <v>137.68201272156554</v>
      </c>
      <c r="D80" s="6">
        <v>21.69146535937886</v>
      </c>
      <c r="E80" s="6">
        <v>16.758904290619089</v>
      </c>
      <c r="F80" s="49">
        <v>19.225184824998976</v>
      </c>
      <c r="G80" s="49"/>
      <c r="H80" s="6"/>
      <c r="I80" s="51">
        <v>0.75536373956356451</v>
      </c>
      <c r="J80" s="50">
        <f t="shared" si="18"/>
        <v>75.61484594059641</v>
      </c>
      <c r="K80" s="6">
        <f t="shared" si="17"/>
        <v>74.603512993291801</v>
      </c>
    </row>
    <row r="81" spans="2:11">
      <c r="B81" s="5">
        <v>105</v>
      </c>
      <c r="C81" s="49">
        <v>138.84459464093223</v>
      </c>
      <c r="D81" s="6">
        <v>21.901504190144763</v>
      </c>
      <c r="E81" s="6">
        <v>16.851582867032572</v>
      </c>
      <c r="F81" s="49">
        <v>19.37654352858867</v>
      </c>
      <c r="G81" s="49"/>
      <c r="H81" s="6"/>
      <c r="I81" s="51">
        <v>0.75624117936706026</v>
      </c>
      <c r="J81" s="50">
        <f t="shared" si="18"/>
        <v>75.702681074967316</v>
      </c>
      <c r="K81" s="6">
        <f t="shared" si="17"/>
        <v>74.690173350881565</v>
      </c>
    </row>
    <row r="82" spans="2:11">
      <c r="B82" s="5">
        <v>106</v>
      </c>
      <c r="C82" s="49">
        <v>140.00448188175039</v>
      </c>
      <c r="D82" s="6">
        <v>22.111557024177106</v>
      </c>
      <c r="E82" s="6">
        <v>16.943888210035503</v>
      </c>
      <c r="F82" s="49">
        <v>19.527722617106306</v>
      </c>
      <c r="G82" s="49"/>
      <c r="H82" s="6"/>
      <c r="I82" s="51">
        <v>0.75711861917055612</v>
      </c>
      <c r="J82" s="50">
        <f t="shared" si="18"/>
        <v>75.790516209338236</v>
      </c>
      <c r="K82" s="6">
        <f t="shared" si="17"/>
        <v>74.776833708471344</v>
      </c>
    </row>
    <row r="83" spans="2:11">
      <c r="B83" s="5">
        <v>107</v>
      </c>
      <c r="C83" s="49">
        <v>141.16168380192445</v>
      </c>
      <c r="D83" s="6">
        <v>22.321623730286092</v>
      </c>
      <c r="E83" s="6">
        <v>17.035825322718448</v>
      </c>
      <c r="F83" s="49">
        <v>19.678724526502272</v>
      </c>
      <c r="G83" s="49"/>
      <c r="H83" s="6"/>
      <c r="I83" s="51">
        <v>0.75799605897405198</v>
      </c>
      <c r="J83" s="50">
        <f t="shared" si="18"/>
        <v>75.878351343709156</v>
      </c>
      <c r="K83" s="6">
        <f t="shared" si="17"/>
        <v>74.863494066061136</v>
      </c>
    </row>
    <row r="84" spans="2:11">
      <c r="B84" s="5">
        <v>108</v>
      </c>
      <c r="C84" s="49">
        <v>142.31620971607887</v>
      </c>
      <c r="D84" s="6">
        <v>22.531704179725708</v>
      </c>
      <c r="E84" s="6">
        <v>17.127399095064437</v>
      </c>
      <c r="F84" s="49">
        <v>19.82955163739507</v>
      </c>
      <c r="G84" s="49"/>
      <c r="H84" s="6"/>
      <c r="I84" s="51">
        <v>0.75887349877754773</v>
      </c>
      <c r="J84" s="50">
        <f t="shared" si="18"/>
        <v>75.966186478080061</v>
      </c>
      <c r="K84" s="6">
        <f t="shared" si="17"/>
        <v>74.950154423650901</v>
      </c>
    </row>
    <row r="85" spans="2:11">
      <c r="B85" s="5">
        <v>109</v>
      </c>
      <c r="C85" s="49">
        <v>143.46806889580807</v>
      </c>
      <c r="D85" s="6">
        <v>22.741798246125917</v>
      </c>
      <c r="E85" s="6">
        <v>17.218614307527691</v>
      </c>
      <c r="F85" s="49">
        <v>19.980206276826806</v>
      </c>
      <c r="G85" s="49"/>
      <c r="H85" s="6"/>
      <c r="I85" s="51">
        <v>0.75975093858104359</v>
      </c>
      <c r="J85" s="50">
        <f t="shared" si="18"/>
        <v>76.054021612450981</v>
      </c>
      <c r="K85" s="6">
        <f t="shared" si="17"/>
        <v>75.036814781240679</v>
      </c>
    </row>
    <row r="86" spans="2:11">
      <c r="B86" s="5">
        <v>110</v>
      </c>
      <c r="C86" s="49">
        <v>144.61727056992473</v>
      </c>
      <c r="D86" s="6">
        <v>22.951905805427518</v>
      </c>
      <c r="E86" s="6">
        <v>17.309475634467464</v>
      </c>
      <c r="F86" s="49">
        <v>20.130690719947491</v>
      </c>
      <c r="G86" s="49"/>
      <c r="H86" s="6"/>
      <c r="I86" s="51">
        <v>0.76062837838453934</v>
      </c>
      <c r="J86" s="50">
        <f t="shared" si="18"/>
        <v>76.141856746821901</v>
      </c>
      <c r="K86" s="6">
        <f t="shared" si="17"/>
        <v>75.123475138830472</v>
      </c>
    </row>
    <row r="87" spans="2:11">
      <c r="B87" s="5">
        <v>111</v>
      </c>
      <c r="C87" s="49">
        <v>145.76382392470609</v>
      </c>
      <c r="D87" s="6">
        <v>23.162026735819119</v>
      </c>
      <c r="E87" s="6">
        <v>17.399987647444007</v>
      </c>
      <c r="F87" s="49">
        <v>20.281007191631563</v>
      </c>
      <c r="G87" s="49"/>
      <c r="H87" s="6"/>
      <c r="I87" s="51">
        <v>0.7615058181880352</v>
      </c>
      <c r="J87" s="50">
        <f t="shared" si="18"/>
        <v>76.229691881192821</v>
      </c>
      <c r="K87" s="6">
        <f t="shared" si="17"/>
        <v>75.21013549642025</v>
      </c>
    </row>
    <row r="88" spans="2:11">
      <c r="B88" s="5">
        <v>112</v>
      </c>
      <c r="C88" s="49">
        <v>146.9077381041389</v>
      </c>
      <c r="D88" s="6">
        <v>23.372160917676677</v>
      </c>
      <c r="E88" s="6">
        <v>17.49015481838342</v>
      </c>
      <c r="F88" s="49">
        <v>20.431157868030049</v>
      </c>
      <c r="G88" s="49"/>
      <c r="H88" s="6"/>
      <c r="I88" s="51">
        <v>0.76238325799153106</v>
      </c>
      <c r="J88" s="50">
        <f t="shared" si="18"/>
        <v>76.317527015563741</v>
      </c>
      <c r="K88" s="6">
        <f t="shared" si="17"/>
        <v>75.296795854010028</v>
      </c>
    </row>
    <row r="89" spans="2:11">
      <c r="B89" s="5">
        <v>113</v>
      </c>
      <c r="C89" s="49">
        <v>148.04902221016243</v>
      </c>
      <c r="D89" s="6">
        <v>23.582308233504943</v>
      </c>
      <c r="E89" s="6">
        <v>17.579981522617746</v>
      </c>
      <c r="F89" s="49">
        <v>20.581144878061345</v>
      </c>
      <c r="G89" s="49"/>
      <c r="H89" s="6"/>
      <c r="I89" s="51">
        <v>0.76326069779502681</v>
      </c>
      <c r="J89" s="50">
        <f t="shared" si="18"/>
        <v>76.405362149934646</v>
      </c>
      <c r="K89" s="6">
        <f t="shared" si="17"/>
        <v>75.383456211599807</v>
      </c>
    </row>
    <row r="90" spans="2:11">
      <c r="B90" s="5">
        <v>114</v>
      </c>
      <c r="C90" s="49">
        <v>149.18768530290981</v>
      </c>
      <c r="D90" s="6">
        <v>23.792468567881055</v>
      </c>
      <c r="E90" s="6">
        <v>17.66947204180623</v>
      </c>
      <c r="F90" s="49">
        <v>20.730970304843645</v>
      </c>
      <c r="G90" s="49"/>
      <c r="H90" s="6"/>
      <c r="I90" s="51">
        <v>0.76413813759852267</v>
      </c>
      <c r="J90" s="50">
        <f t="shared" si="18"/>
        <v>76.493197284305566</v>
      </c>
      <c r="K90" s="6">
        <f t="shared" si="17"/>
        <v>75.470116569189585</v>
      </c>
    </row>
    <row r="91" spans="2:11">
      <c r="B91" s="5">
        <v>115</v>
      </c>
      <c r="C91" s="49">
        <v>150.32373640094792</v>
      </c>
      <c r="D91" s="6">
        <v>24.002641807400256</v>
      </c>
      <c r="E91" s="6">
        <v>17.758630566743491</v>
      </c>
      <c r="F91" s="49">
        <v>20.880636187071872</v>
      </c>
      <c r="G91" s="49"/>
      <c r="H91" s="6"/>
      <c r="I91" s="51">
        <v>0.76501557740201842</v>
      </c>
      <c r="J91" s="50">
        <f t="shared" si="18"/>
        <v>76.581032418676472</v>
      </c>
      <c r="K91" s="6">
        <f t="shared" si="17"/>
        <v>75.556776926779349</v>
      </c>
    </row>
    <row r="92" spans="2:11">
      <c r="B92" s="5">
        <v>116</v>
      </c>
      <c r="C92" s="49">
        <v>151.45718448151536</v>
      </c>
      <c r="D92" s="6">
        <v>24.212827840623181</v>
      </c>
      <c r="E92" s="6">
        <v>17.847461200059801</v>
      </c>
      <c r="F92" s="49">
        <v>21.030144520341491</v>
      </c>
      <c r="G92" s="49"/>
      <c r="H92" s="6"/>
      <c r="I92" s="51">
        <v>0.76589301720551428</v>
      </c>
      <c r="J92" s="50">
        <f t="shared" si="18"/>
        <v>76.668867553047392</v>
      </c>
      <c r="K92" s="6">
        <f t="shared" si="17"/>
        <v>75.643437284369142</v>
      </c>
    </row>
    <row r="93" spans="2:11">
      <c r="B93" s="5">
        <v>117</v>
      </c>
      <c r="C93" s="49">
        <v>152.58803848075902</v>
      </c>
      <c r="D93" s="6">
        <v>24.423026558025349</v>
      </c>
      <c r="E93" s="6">
        <v>17.935967958818601</v>
      </c>
      <c r="F93" s="49">
        <v>21.179497258421975</v>
      </c>
      <c r="G93" s="49"/>
      <c r="H93" s="6"/>
      <c r="I93" s="51">
        <v>0.76677045700901003</v>
      </c>
      <c r="J93" s="50">
        <f t="shared" si="18"/>
        <v>76.756702687418311</v>
      </c>
      <c r="K93" s="6">
        <f t="shared" si="17"/>
        <v>75.73009764195892</v>
      </c>
    </row>
    <row r="94" spans="2:11">
      <c r="B94" s="5">
        <v>118</v>
      </c>
      <c r="C94" s="49">
        <v>153.71630729396878</v>
      </c>
      <c r="D94" s="6">
        <v>24.633237851947925</v>
      </c>
      <c r="E94" s="6">
        <v>18.024154777015983</v>
      </c>
      <c r="F94" s="49">
        <v>21.328696314481952</v>
      </c>
      <c r="G94" s="49"/>
      <c r="H94" s="6"/>
      <c r="I94" s="51">
        <v>0.76764789681250589</v>
      </c>
      <c r="J94" s="50">
        <f t="shared" si="18"/>
        <v>76.844537821789231</v>
      </c>
      <c r="K94" s="6">
        <f t="shared" si="17"/>
        <v>75.816757999548699</v>
      </c>
    </row>
    <row r="95" spans="2:11">
      <c r="B95" s="5">
        <v>119</v>
      </c>
      <c r="C95" s="49">
        <v>154.84199977581099</v>
      </c>
      <c r="D95" s="6">
        <v>24.843461616550663</v>
      </c>
      <c r="E95" s="6">
        <v>18.112025507986587</v>
      </c>
      <c r="F95" s="49">
        <v>21.477743562268625</v>
      </c>
      <c r="G95" s="49"/>
      <c r="H95" s="6"/>
      <c r="I95" s="51">
        <v>0.76852533661600164</v>
      </c>
      <c r="J95" s="50">
        <f t="shared" si="18"/>
        <v>76.932372956160137</v>
      </c>
      <c r="K95" s="6">
        <f t="shared" si="17"/>
        <v>75.903418357138477</v>
      </c>
    </row>
    <row r="96" spans="2:11">
      <c r="B96" s="5">
        <v>120</v>
      </c>
      <c r="C96" s="49">
        <v>155.96512474055984</v>
      </c>
      <c r="D96" s="6">
        <v>25.053697747765945</v>
      </c>
      <c r="E96" s="6">
        <v>18.199583926720305</v>
      </c>
      <c r="F96" s="49">
        <v>21.626640837243123</v>
      </c>
      <c r="G96" s="49"/>
      <c r="H96" s="6"/>
      <c r="I96" s="51">
        <v>0.7694027764194975</v>
      </c>
      <c r="J96" s="50">
        <f t="shared" si="18"/>
        <v>77.020208090531057</v>
      </c>
      <c r="K96" s="6">
        <f t="shared" si="17"/>
        <v>75.990078714728256</v>
      </c>
    </row>
  </sheetData>
  <mergeCells count="6">
    <mergeCell ref="B40:E40"/>
    <mergeCell ref="A1:O1"/>
    <mergeCell ref="A2:A4"/>
    <mergeCell ref="B2:G3"/>
    <mergeCell ref="J2:K3"/>
    <mergeCell ref="B39:E3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Instructions</vt:lpstr>
      <vt:lpstr>STTD P Energy equation</vt:lpstr>
      <vt:lpstr>NRC 2012</vt:lpstr>
      <vt:lpstr>Finisher Model - NE Metric</vt:lpstr>
      <vt:lpstr>Current Performance - NE </vt:lpstr>
      <vt:lpstr>FW - Projected Performance - NE</vt:lpstr>
      <vt:lpstr>FT - Projected Performance - NE</vt:lpstr>
      <vt:lpstr>Finisher Model - ME Metric</vt:lpstr>
      <vt:lpstr>Current Performance - ME</vt:lpstr>
      <vt:lpstr>FW - Projected Performance - ME</vt:lpstr>
      <vt:lpstr>FT - Projected Performance - 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Lexi Marek Beeler</cp:lastModifiedBy>
  <dcterms:created xsi:type="dcterms:W3CDTF">2019-01-31T16:22:09Z</dcterms:created>
  <dcterms:modified xsi:type="dcterms:W3CDTF">2021-11-29T21:42:57Z</dcterms:modified>
</cp:coreProperties>
</file>