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C:\Users\amarek\Downloads\"/>
    </mc:Choice>
  </mc:AlternateContent>
  <xr:revisionPtr revIDLastSave="0" documentId="8_{ABF1E63A-ACB8-4D0E-9FC2-1C9D362F0660}" xr6:coauthVersionLast="46" xr6:coauthVersionMax="46" xr10:uidLastSave="{00000000-0000-0000-0000-000000000000}"/>
  <workbookProtection workbookAlgorithmName="SHA-512" workbookHashValue="qiETXpSMSwMYIMHB0DMwa1hpRz99s5JDpb0nClVwgWTvSsXw9650RcyU8BkeeL+Xfr9LXbeE3/XyRyP/ePjzDw==" workbookSaltValue="DEWMN4zQtOVHPD/hXVJiag==" workbookSpinCount="100000" lockStructure="1"/>
  <bookViews>
    <workbookView xWindow="28680" yWindow="-120" windowWidth="29040" windowHeight="15840" tabRatio="883" xr2:uid="{F2333697-3163-4348-A0E7-7B84135EB83E}"/>
  </bookViews>
  <sheets>
    <sheet name="Instructions" sheetId="7" r:id="rId1"/>
    <sheet name="STTD P Energy equation" sheetId="5" state="hidden" r:id="rId2"/>
    <sheet name="NRC 2012" sheetId="8" state="hidden" r:id="rId3"/>
    <sheet name="Finisher Model - NE Imperial" sheetId="1" r:id="rId4"/>
    <sheet name="Current Performance - NE " sheetId="2" state="hidden" r:id="rId5"/>
    <sheet name="FW - Projected Performance - NE" sheetId="3" state="hidden" r:id="rId6"/>
    <sheet name="FT - Projected Performance - NE" sheetId="4" state="hidden" r:id="rId7"/>
    <sheet name="Finisher Model - ME Imperial" sheetId="9" r:id="rId8"/>
    <sheet name="Current Performance - ME" sheetId="11" state="hidden" r:id="rId9"/>
    <sheet name="FW - Projected Performance - ME" sheetId="12" state="hidden" r:id="rId10"/>
    <sheet name="FT - Projected Performance - ME" sheetId="13" state="hidden" r:id="rId11"/>
  </sheets>
  <externalReferences>
    <externalReference r:id="rId12"/>
  </externalReferences>
  <definedNames>
    <definedName name="Drug_costs_per_gram">'[1]Feed drugs'!$A$2:$J$19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 i="9" l="1"/>
  <c r="F9" i="1"/>
  <c r="C83" i="9"/>
  <c r="D83" i="9" s="1"/>
  <c r="C82" i="9"/>
  <c r="D82" i="9" s="1"/>
  <c r="C19" i="9" s="1"/>
  <c r="B82" i="9" s="1"/>
  <c r="C81" i="9"/>
  <c r="D81" i="9" s="1"/>
  <c r="C18" i="9" s="1"/>
  <c r="B81" i="9" s="1"/>
  <c r="C80" i="9"/>
  <c r="D80" i="9" s="1"/>
  <c r="C79" i="9"/>
  <c r="D79" i="9" s="1"/>
  <c r="C78" i="9"/>
  <c r="D78" i="9" s="1"/>
  <c r="B78" i="9"/>
  <c r="E11" i="9" l="1"/>
  <c r="C16" i="9"/>
  <c r="B79" i="9" s="1"/>
  <c r="C17" i="9"/>
  <c r="B80" i="9" s="1"/>
  <c r="C20" i="9"/>
  <c r="B83" i="9" s="1"/>
  <c r="B15" i="9"/>
  <c r="B16" i="9" s="1"/>
  <c r="B17" i="9" s="1"/>
  <c r="B18" i="9" s="1"/>
  <c r="B19" i="9" s="1"/>
  <c r="B20" i="9" s="1"/>
  <c r="B15" i="1" l="1"/>
  <c r="C83" i="1"/>
  <c r="D83" i="1" s="1"/>
  <c r="C82" i="1"/>
  <c r="C81" i="1"/>
  <c r="C80" i="1"/>
  <c r="C79" i="1"/>
  <c r="C78" i="1"/>
  <c r="D78" i="1" s="1"/>
  <c r="B78" i="1"/>
  <c r="C20" i="1" l="1"/>
  <c r="B83" i="1" s="1"/>
  <c r="C65" i="12" l="1"/>
  <c r="C57" i="3" l="1"/>
  <c r="G45" i="9" l="1"/>
  <c r="G45" i="1"/>
  <c r="B31" i="13" l="1"/>
  <c r="B27" i="13"/>
  <c r="B40" i="13" l="1"/>
  <c r="H57" i="12"/>
  <c r="C57" i="12"/>
  <c r="B57" i="12"/>
  <c r="C42" i="11"/>
  <c r="B42" i="11"/>
  <c r="H60" i="12" l="1"/>
  <c r="H15" i="9" l="1"/>
  <c r="C61" i="12"/>
  <c r="G61" i="12"/>
  <c r="G60" i="12"/>
  <c r="G57" i="12"/>
  <c r="C55" i="3" l="1"/>
  <c r="C54" i="3"/>
  <c r="H53" i="3"/>
  <c r="G54" i="3" s="1"/>
  <c r="C53" i="3"/>
  <c r="G53" i="3"/>
  <c r="G50" i="3"/>
  <c r="B50" i="3"/>
  <c r="C43" i="13" l="1"/>
  <c r="B44" i="13" s="1"/>
  <c r="B43" i="13"/>
  <c r="G9" i="13"/>
  <c r="F9" i="13"/>
  <c r="E9" i="13"/>
  <c r="D9" i="13"/>
  <c r="C9" i="13"/>
  <c r="B9" i="13"/>
  <c r="B8" i="13"/>
  <c r="G6" i="13"/>
  <c r="F6" i="13"/>
  <c r="E6" i="13"/>
  <c r="D6" i="13"/>
  <c r="C6" i="13"/>
  <c r="G5" i="13"/>
  <c r="F5" i="13"/>
  <c r="E5" i="13"/>
  <c r="D5" i="13"/>
  <c r="C5" i="13"/>
  <c r="B6" i="13"/>
  <c r="B5" i="13"/>
  <c r="B45" i="11"/>
  <c r="C50" i="11"/>
  <c r="C49" i="11"/>
  <c r="C48" i="11"/>
  <c r="C47" i="11"/>
  <c r="C46" i="11"/>
  <c r="C45" i="11"/>
  <c r="B60" i="12"/>
  <c r="B66" i="12"/>
  <c r="C64" i="12"/>
  <c r="B65" i="12" s="1"/>
  <c r="C63" i="12"/>
  <c r="B64" i="12" s="1"/>
  <c r="C62" i="12"/>
  <c r="B63" i="12" s="1"/>
  <c r="B62" i="12"/>
  <c r="C60" i="12"/>
  <c r="B61" i="12" s="1"/>
  <c r="B37" i="12"/>
  <c r="G9" i="12"/>
  <c r="F9" i="12"/>
  <c r="E9" i="12"/>
  <c r="D9" i="12"/>
  <c r="C9" i="12"/>
  <c r="B9" i="12"/>
  <c r="B8" i="12"/>
  <c r="D6" i="12"/>
  <c r="G6" i="12"/>
  <c r="F6" i="12"/>
  <c r="E6" i="12"/>
  <c r="G5" i="12"/>
  <c r="F5" i="12"/>
  <c r="E5" i="12"/>
  <c r="D5" i="12"/>
  <c r="C6" i="12"/>
  <c r="C5" i="12"/>
  <c r="B6" i="12"/>
  <c r="B5" i="12"/>
  <c r="B41" i="12"/>
  <c r="B30" i="11"/>
  <c r="G9" i="11"/>
  <c r="F9" i="11"/>
  <c r="E9" i="11"/>
  <c r="D9" i="11"/>
  <c r="C9" i="11"/>
  <c r="B9" i="11"/>
  <c r="B8" i="11"/>
  <c r="G6" i="11"/>
  <c r="F6" i="11"/>
  <c r="E6" i="11"/>
  <c r="D6" i="11"/>
  <c r="C6" i="11"/>
  <c r="B6" i="11"/>
  <c r="G5" i="11"/>
  <c r="F5" i="11"/>
  <c r="E5" i="11"/>
  <c r="D5" i="11"/>
  <c r="C5" i="11"/>
  <c r="B5" i="11"/>
  <c r="B34" i="11"/>
  <c r="Y42" i="9"/>
  <c r="X42" i="9"/>
  <c r="W42" i="9"/>
  <c r="V42" i="9"/>
  <c r="Z42" i="9" s="1"/>
  <c r="AC49" i="9" s="1"/>
  <c r="H20" i="9"/>
  <c r="G8" i="13" s="1"/>
  <c r="Y22" i="9"/>
  <c r="X22" i="9"/>
  <c r="W22" i="9"/>
  <c r="V22" i="9"/>
  <c r="Z22" i="9" s="1"/>
  <c r="AC45" i="9" s="1"/>
  <c r="H19" i="9"/>
  <c r="F8" i="13" s="1"/>
  <c r="Y20" i="9"/>
  <c r="X20" i="9"/>
  <c r="W20" i="9"/>
  <c r="V20" i="9"/>
  <c r="Z20" i="9" s="1"/>
  <c r="AC20" i="9" s="1"/>
  <c r="H18" i="9"/>
  <c r="Y19" i="9"/>
  <c r="X19" i="9"/>
  <c r="W19" i="9"/>
  <c r="V19" i="9"/>
  <c r="Z19" i="9" s="1"/>
  <c r="AC16" i="9" s="1"/>
  <c r="H17" i="9"/>
  <c r="D8" i="12" s="1"/>
  <c r="Y18" i="9"/>
  <c r="X18" i="9"/>
  <c r="W18" i="9"/>
  <c r="V18" i="9"/>
  <c r="Z18" i="9" s="1"/>
  <c r="AA18" i="9" s="1"/>
  <c r="H16" i="9"/>
  <c r="C8" i="13" s="1"/>
  <c r="Y17" i="9"/>
  <c r="X17" i="9"/>
  <c r="W17" i="9"/>
  <c r="V17" i="9"/>
  <c r="Z17" i="9" s="1"/>
  <c r="AC8" i="9" s="1"/>
  <c r="I15" i="9" s="1"/>
  <c r="U40" i="9" s="1"/>
  <c r="L5" i="5"/>
  <c r="L6" i="5"/>
  <c r="L7" i="5"/>
  <c r="L8" i="5"/>
  <c r="L4" i="5"/>
  <c r="G4" i="5"/>
  <c r="I17" i="9" l="1"/>
  <c r="I18" i="9"/>
  <c r="I20" i="9"/>
  <c r="G8" i="12"/>
  <c r="G8" i="11"/>
  <c r="F8" i="11"/>
  <c r="D10" i="11"/>
  <c r="B7" i="12"/>
  <c r="E7" i="12"/>
  <c r="D10" i="12"/>
  <c r="F10" i="11"/>
  <c r="B10" i="12"/>
  <c r="F7" i="13"/>
  <c r="E10" i="12"/>
  <c r="G10" i="13"/>
  <c r="F7" i="12"/>
  <c r="E10" i="11"/>
  <c r="G10" i="11"/>
  <c r="B7" i="13"/>
  <c r="E10" i="13"/>
  <c r="D7" i="13"/>
  <c r="I19" i="9"/>
  <c r="G10" i="12"/>
  <c r="B7" i="11"/>
  <c r="F8" i="12"/>
  <c r="F10" i="13"/>
  <c r="B10" i="11"/>
  <c r="C7" i="12"/>
  <c r="G7" i="12"/>
  <c r="D10" i="13"/>
  <c r="C10" i="11"/>
  <c r="D7" i="11"/>
  <c r="C10" i="12"/>
  <c r="B10" i="13"/>
  <c r="C10" i="13"/>
  <c r="C7" i="11"/>
  <c r="AC12" i="9"/>
  <c r="I16" i="9" s="1"/>
  <c r="AA17" i="9"/>
  <c r="S17" i="9" s="1"/>
  <c r="E8" i="11"/>
  <c r="E8" i="12"/>
  <c r="D8" i="13"/>
  <c r="C8" i="11"/>
  <c r="C8" i="12"/>
  <c r="E8" i="13"/>
  <c r="D8" i="11"/>
  <c r="G7" i="13"/>
  <c r="E7" i="13"/>
  <c r="C7" i="13"/>
  <c r="D7" i="12"/>
  <c r="F10" i="12"/>
  <c r="G7" i="11"/>
  <c r="E7" i="11"/>
  <c r="F7" i="11"/>
  <c r="B49" i="11"/>
  <c r="B46" i="11"/>
  <c r="B50" i="11"/>
  <c r="B48" i="11"/>
  <c r="B47" i="11"/>
  <c r="B51" i="11"/>
  <c r="W43" i="9"/>
  <c r="AA22" i="9"/>
  <c r="S22" i="9" s="1"/>
  <c r="AA19" i="9"/>
  <c r="AA20" i="9"/>
  <c r="W40" i="9" s="1"/>
  <c r="S18" i="9"/>
  <c r="AA42" i="9"/>
  <c r="S42" i="9" s="1"/>
  <c r="X40" i="9" l="1"/>
  <c r="Y40" i="9"/>
  <c r="G26" i="11"/>
  <c r="G31" i="12"/>
  <c r="G12" i="11"/>
  <c r="G11" i="11"/>
  <c r="G32" i="11"/>
  <c r="F32" i="11"/>
  <c r="F26" i="11"/>
  <c r="F31" i="12"/>
  <c r="F12" i="11"/>
  <c r="F11" i="11"/>
  <c r="C31" i="12"/>
  <c r="C32" i="11"/>
  <c r="C12" i="11"/>
  <c r="C26" i="11"/>
  <c r="C11" i="11"/>
  <c r="B12" i="11"/>
  <c r="B31" i="12"/>
  <c r="B26" i="11"/>
  <c r="B11" i="11"/>
  <c r="B32" i="11"/>
  <c r="Q42" i="9"/>
  <c r="Q20" i="9"/>
  <c r="Q22" i="9"/>
  <c r="Q19" i="9"/>
  <c r="S20" i="9"/>
  <c r="Q17" i="9"/>
  <c r="B29" i="13" s="1"/>
  <c r="S19" i="9"/>
  <c r="Q18" i="9"/>
  <c r="F13" i="11" l="1"/>
  <c r="F14" i="11" s="1"/>
  <c r="E11" i="11"/>
  <c r="E32" i="11"/>
  <c r="E26" i="11"/>
  <c r="E31" i="12"/>
  <c r="E12" i="11"/>
  <c r="D31" i="12"/>
  <c r="D12" i="11"/>
  <c r="D11" i="11"/>
  <c r="D32" i="11"/>
  <c r="D26" i="11"/>
  <c r="G16" i="11"/>
  <c r="G13" i="11"/>
  <c r="G14" i="11" s="1"/>
  <c r="F16" i="11"/>
  <c r="F16" i="13" s="1"/>
  <c r="C13" i="11"/>
  <c r="C14" i="11" s="1"/>
  <c r="C16" i="11"/>
  <c r="B16" i="11"/>
  <c r="B13" i="11"/>
  <c r="B14" i="11" s="1"/>
  <c r="G11" i="13"/>
  <c r="G12" i="12"/>
  <c r="G12" i="13"/>
  <c r="G39" i="12"/>
  <c r="G29" i="13"/>
  <c r="G11" i="12"/>
  <c r="G16" i="12" s="1"/>
  <c r="G22" i="12" s="1"/>
  <c r="F39" i="12"/>
  <c r="F29" i="13"/>
  <c r="F12" i="13"/>
  <c r="F11" i="12"/>
  <c r="F11" i="13"/>
  <c r="F12" i="12"/>
  <c r="E29" i="13"/>
  <c r="E39" i="12"/>
  <c r="E11" i="12"/>
  <c r="E11" i="13"/>
  <c r="E12" i="12"/>
  <c r="E12" i="13"/>
  <c r="D29" i="13"/>
  <c r="D12" i="13"/>
  <c r="D11" i="13"/>
  <c r="D12" i="12"/>
  <c r="D11" i="12"/>
  <c r="D39" i="12"/>
  <c r="C29" i="13"/>
  <c r="C12" i="12"/>
  <c r="C11" i="12"/>
  <c r="C17" i="12" s="1"/>
  <c r="C12" i="13"/>
  <c r="C11" i="13"/>
  <c r="C39" i="12"/>
  <c r="B11" i="13"/>
  <c r="B39" i="12"/>
  <c r="B11" i="12"/>
  <c r="B12" i="12"/>
  <c r="B12" i="13"/>
  <c r="D16" i="12" l="1"/>
  <c r="D22" i="12" s="1"/>
  <c r="D28" i="12" s="1"/>
  <c r="B16" i="12"/>
  <c r="B17" i="12"/>
  <c r="B23" i="12" s="1"/>
  <c r="G28" i="12"/>
  <c r="G16" i="13"/>
  <c r="G19" i="13" s="1"/>
  <c r="G22" i="13" s="1"/>
  <c r="G19" i="11"/>
  <c r="G23" i="11" s="1"/>
  <c r="D13" i="11"/>
  <c r="D14" i="11" s="1"/>
  <c r="D16" i="11"/>
  <c r="D16" i="13" s="1"/>
  <c r="D19" i="13" s="1"/>
  <c r="D22" i="13" s="1"/>
  <c r="F19" i="11"/>
  <c r="F23" i="11" s="1"/>
  <c r="E13" i="11"/>
  <c r="E14" i="11" s="1"/>
  <c r="E16" i="11"/>
  <c r="E16" i="13" s="1"/>
  <c r="E19" i="13" s="1"/>
  <c r="E22" i="13" s="1"/>
  <c r="C19" i="11"/>
  <c r="C23" i="11" s="1"/>
  <c r="C16" i="13"/>
  <c r="C19" i="13" s="1"/>
  <c r="C22" i="13" s="1"/>
  <c r="L5" i="11"/>
  <c r="L8" i="11"/>
  <c r="B16" i="13"/>
  <c r="B19" i="11"/>
  <c r="G13" i="12"/>
  <c r="G14" i="12" s="1"/>
  <c r="G13" i="13"/>
  <c r="G14" i="13" s="1"/>
  <c r="F16" i="12"/>
  <c r="F22" i="12" s="1"/>
  <c r="F28" i="12" s="1"/>
  <c r="F13" i="12"/>
  <c r="F14" i="12" s="1"/>
  <c r="F19" i="13"/>
  <c r="F22" i="13" s="1"/>
  <c r="F13" i="13"/>
  <c r="F14" i="13" s="1"/>
  <c r="E13" i="13"/>
  <c r="E14" i="13" s="1"/>
  <c r="E13" i="12"/>
  <c r="E14" i="12" s="1"/>
  <c r="E16" i="12"/>
  <c r="E22" i="12" s="1"/>
  <c r="E28" i="12" s="1"/>
  <c r="D13" i="13"/>
  <c r="D14" i="13" s="1"/>
  <c r="D13" i="12"/>
  <c r="D14" i="12" s="1"/>
  <c r="C13" i="12"/>
  <c r="C14" i="12" s="1"/>
  <c r="C16" i="12"/>
  <c r="C22" i="12" s="1"/>
  <c r="C13" i="13"/>
  <c r="C14" i="13" s="1"/>
  <c r="B13" i="12"/>
  <c r="B14" i="12" s="1"/>
  <c r="B13" i="13"/>
  <c r="B14" i="13" s="1"/>
  <c r="H16" i="12" l="1"/>
  <c r="L12" i="11"/>
  <c r="C28" i="12"/>
  <c r="P8" i="13"/>
  <c r="B19" i="13"/>
  <c r="L9" i="12"/>
  <c r="B22" i="12"/>
  <c r="B15" i="11"/>
  <c r="D42" i="11" s="1"/>
  <c r="E44" i="11" s="1"/>
  <c r="P5" i="11"/>
  <c r="O8" i="11"/>
  <c r="O5" i="11"/>
  <c r="M5" i="11"/>
  <c r="M8" i="11"/>
  <c r="P8" i="11"/>
  <c r="E19" i="11"/>
  <c r="E23" i="11" s="1"/>
  <c r="H32" i="11"/>
  <c r="B33" i="11" s="1"/>
  <c r="B35" i="11" s="1"/>
  <c r="N8" i="11"/>
  <c r="H16" i="11"/>
  <c r="N5" i="11"/>
  <c r="D19" i="11"/>
  <c r="D23" i="11" s="1"/>
  <c r="B23" i="11"/>
  <c r="H16" i="13"/>
  <c r="N8" i="13"/>
  <c r="O8" i="13"/>
  <c r="L8" i="13"/>
  <c r="M8" i="13"/>
  <c r="H29" i="13"/>
  <c r="B30" i="13" s="1"/>
  <c r="B32" i="13" s="1"/>
  <c r="H39" i="12"/>
  <c r="B40" i="12" s="1"/>
  <c r="B42" i="12" s="1"/>
  <c r="B15" i="13"/>
  <c r="D40" i="13" s="1"/>
  <c r="B15" i="12"/>
  <c r="M9" i="12"/>
  <c r="O9" i="12"/>
  <c r="P9" i="12"/>
  <c r="N9" i="12"/>
  <c r="K5" i="11" l="1"/>
  <c r="P12" i="11"/>
  <c r="O12" i="11"/>
  <c r="N12" i="11"/>
  <c r="M12" i="11"/>
  <c r="P12" i="13"/>
  <c r="L12" i="13"/>
  <c r="M12" i="13"/>
  <c r="O12" i="13"/>
  <c r="N12" i="13"/>
  <c r="K8" i="13"/>
  <c r="L6" i="12"/>
  <c r="O13" i="12"/>
  <c r="N13" i="12"/>
  <c r="M13" i="12"/>
  <c r="L13" i="12"/>
  <c r="P13" i="12"/>
  <c r="N5" i="13"/>
  <c r="H19" i="13"/>
  <c r="M5" i="13"/>
  <c r="L5" i="13"/>
  <c r="O5" i="13"/>
  <c r="E50" i="11"/>
  <c r="E45" i="11"/>
  <c r="P5" i="13"/>
  <c r="B22" i="13"/>
  <c r="B28" i="12"/>
  <c r="N6" i="12"/>
  <c r="O6" i="12"/>
  <c r="K9" i="12"/>
  <c r="C48" i="13"/>
  <c r="B49" i="13" s="1"/>
  <c r="C45" i="13"/>
  <c r="B46" i="13" s="1"/>
  <c r="E47" i="11"/>
  <c r="P6" i="12"/>
  <c r="M6" i="12"/>
  <c r="H22" i="12"/>
  <c r="I22" i="12" s="1"/>
  <c r="B36" i="12" s="1"/>
  <c r="B38" i="12" s="1"/>
  <c r="J104" i="12" s="1"/>
  <c r="K104" i="12" s="1"/>
  <c r="K8" i="11"/>
  <c r="E46" i="11"/>
  <c r="E48" i="11"/>
  <c r="E49" i="11"/>
  <c r="D57" i="12"/>
  <c r="I57" i="12"/>
  <c r="J59" i="12" s="1"/>
  <c r="H19" i="11"/>
  <c r="K12" i="13" l="1"/>
  <c r="C44" i="13"/>
  <c r="B45" i="13" s="1"/>
  <c r="C47" i="13"/>
  <c r="B48" i="13" s="1"/>
  <c r="I19" i="11"/>
  <c r="G29" i="11" s="1"/>
  <c r="K5" i="13"/>
  <c r="K55" i="9" s="1"/>
  <c r="E64" i="12"/>
  <c r="E59" i="12"/>
  <c r="C46" i="13"/>
  <c r="B47" i="13" s="1"/>
  <c r="I19" i="13"/>
  <c r="F26" i="13" s="1"/>
  <c r="C40" i="13"/>
  <c r="D50" i="11"/>
  <c r="G17" i="11" s="1"/>
  <c r="G18" i="11" s="1"/>
  <c r="G24" i="11" s="1"/>
  <c r="K12" i="11"/>
  <c r="K13" i="12"/>
  <c r="K6" i="12"/>
  <c r="D47" i="11"/>
  <c r="D17" i="11" s="1"/>
  <c r="D18" i="11" s="1"/>
  <c r="D48" i="11"/>
  <c r="E17" i="11" s="1"/>
  <c r="E18" i="11" s="1"/>
  <c r="E24" i="11" s="1"/>
  <c r="D46" i="11"/>
  <c r="C17" i="11" s="1"/>
  <c r="C18" i="11" s="1"/>
  <c r="C21" i="11" s="1"/>
  <c r="C25" i="11" s="1"/>
  <c r="J101" i="12"/>
  <c r="K101" i="12" s="1"/>
  <c r="J107" i="12"/>
  <c r="K107" i="12" s="1"/>
  <c r="J74" i="12"/>
  <c r="K74" i="12" s="1"/>
  <c r="J106" i="12"/>
  <c r="K106" i="12" s="1"/>
  <c r="J83" i="12"/>
  <c r="K83" i="12" s="1"/>
  <c r="J98" i="12"/>
  <c r="K98" i="12" s="1"/>
  <c r="D36" i="12"/>
  <c r="J103" i="12"/>
  <c r="K103" i="12" s="1"/>
  <c r="J82" i="12"/>
  <c r="K82" i="12" s="1"/>
  <c r="J85" i="12"/>
  <c r="K85" i="12" s="1"/>
  <c r="J90" i="12"/>
  <c r="K90" i="12" s="1"/>
  <c r="J91" i="12"/>
  <c r="K91" i="12" s="1"/>
  <c r="J71" i="12"/>
  <c r="K71" i="12" s="1"/>
  <c r="J73" i="12"/>
  <c r="K73" i="12" s="1"/>
  <c r="J89" i="12"/>
  <c r="K89" i="12" s="1"/>
  <c r="J105" i="12"/>
  <c r="K105" i="12" s="1"/>
  <c r="J76" i="12"/>
  <c r="K76" i="12" s="1"/>
  <c r="J84" i="12"/>
  <c r="K84" i="12" s="1"/>
  <c r="J92" i="12"/>
  <c r="K92" i="12" s="1"/>
  <c r="J100" i="12"/>
  <c r="K100" i="12" s="1"/>
  <c r="J108" i="12"/>
  <c r="K108" i="12" s="1"/>
  <c r="C36" i="12"/>
  <c r="J95" i="12"/>
  <c r="K95" i="12" s="1"/>
  <c r="J79" i="12"/>
  <c r="K79" i="12" s="1"/>
  <c r="J77" i="12"/>
  <c r="K77" i="12" s="1"/>
  <c r="J93" i="12"/>
  <c r="K93" i="12" s="1"/>
  <c r="J109" i="12"/>
  <c r="K109" i="12" s="1"/>
  <c r="J78" i="12"/>
  <c r="K78" i="12" s="1"/>
  <c r="J86" i="12"/>
  <c r="K86" i="12" s="1"/>
  <c r="J94" i="12"/>
  <c r="K94" i="12" s="1"/>
  <c r="J102" i="12"/>
  <c r="K102" i="12" s="1"/>
  <c r="J110" i="12"/>
  <c r="K110" i="12" s="1"/>
  <c r="G36" i="12"/>
  <c r="J75" i="12"/>
  <c r="K75" i="12" s="1"/>
  <c r="J99" i="12"/>
  <c r="K99" i="12" s="1"/>
  <c r="J87" i="12"/>
  <c r="K87" i="12" s="1"/>
  <c r="J81" i="12"/>
  <c r="K81" i="12" s="1"/>
  <c r="J97" i="12"/>
  <c r="K97" i="12" s="1"/>
  <c r="J72" i="12"/>
  <c r="K72" i="12" s="1"/>
  <c r="J80" i="12"/>
  <c r="K80" i="12" s="1"/>
  <c r="J88" i="12"/>
  <c r="K88" i="12" s="1"/>
  <c r="J96" i="12"/>
  <c r="K96" i="12" s="1"/>
  <c r="F36" i="12"/>
  <c r="E36" i="12"/>
  <c r="D49" i="11"/>
  <c r="F17" i="11" s="1"/>
  <c r="F18" i="11" s="1"/>
  <c r="F21" i="11" s="1"/>
  <c r="F25" i="11" s="1"/>
  <c r="E60" i="12"/>
  <c r="E65" i="12"/>
  <c r="E62" i="12"/>
  <c r="E61" i="12"/>
  <c r="E63" i="12"/>
  <c r="E48" i="13"/>
  <c r="J60" i="12"/>
  <c r="D65" i="12" l="1"/>
  <c r="G18" i="12" s="1"/>
  <c r="G20" i="12" s="1"/>
  <c r="D64" i="12"/>
  <c r="F18" i="12" s="1"/>
  <c r="F20" i="12" s="1"/>
  <c r="F26" i="12" s="1"/>
  <c r="F30" i="12" s="1"/>
  <c r="E44" i="13"/>
  <c r="F29" i="11"/>
  <c r="C29" i="11"/>
  <c r="B29" i="11"/>
  <c r="B31" i="11" s="1"/>
  <c r="J95" i="11" s="1"/>
  <c r="K95" i="11" s="1"/>
  <c r="E29" i="11"/>
  <c r="D29" i="11"/>
  <c r="L55" i="9"/>
  <c r="E49" i="9" s="1"/>
  <c r="C70" i="9" s="1"/>
  <c r="B70" i="9" s="1"/>
  <c r="E46" i="13"/>
  <c r="G26" i="13"/>
  <c r="D26" i="13"/>
  <c r="E26" i="13"/>
  <c r="C26" i="13"/>
  <c r="E43" i="13"/>
  <c r="E42" i="13"/>
  <c r="G21" i="11"/>
  <c r="G25" i="11" s="1"/>
  <c r="G20" i="11"/>
  <c r="E47" i="13"/>
  <c r="E45" i="13"/>
  <c r="B26" i="13"/>
  <c r="B28" i="13" s="1"/>
  <c r="J74" i="13" s="1"/>
  <c r="K74" i="13" s="1"/>
  <c r="B43" i="12"/>
  <c r="C24" i="11"/>
  <c r="E21" i="11"/>
  <c r="E25" i="11" s="1"/>
  <c r="E20" i="11"/>
  <c r="C20" i="11"/>
  <c r="D63" i="12"/>
  <c r="E18" i="12" s="1"/>
  <c r="E20" i="12" s="1"/>
  <c r="E26" i="12" s="1"/>
  <c r="E30" i="12" s="1"/>
  <c r="F24" i="11"/>
  <c r="F20" i="11"/>
  <c r="D62" i="12"/>
  <c r="D18" i="12" s="1"/>
  <c r="D20" i="12" s="1"/>
  <c r="D29" i="12" s="1"/>
  <c r="D61" i="12"/>
  <c r="C18" i="12" s="1"/>
  <c r="D48" i="13"/>
  <c r="G17" i="13" s="1"/>
  <c r="G18" i="13" s="1"/>
  <c r="D24" i="11"/>
  <c r="D21" i="11"/>
  <c r="D25" i="11" s="1"/>
  <c r="D20" i="11"/>
  <c r="G26" i="12"/>
  <c r="G30" i="12" s="1"/>
  <c r="G24" i="12"/>
  <c r="G29" i="12"/>
  <c r="F29" i="12" l="1"/>
  <c r="F24" i="12"/>
  <c r="D44" i="13"/>
  <c r="C17" i="13" s="1"/>
  <c r="C18" i="13" s="1"/>
  <c r="C23" i="13" s="1"/>
  <c r="D45" i="13"/>
  <c r="D17" i="13" s="1"/>
  <c r="D18" i="13" s="1"/>
  <c r="D21" i="13" s="1"/>
  <c r="D24" i="13" s="1"/>
  <c r="J84" i="11"/>
  <c r="K84" i="11" s="1"/>
  <c r="J75" i="11"/>
  <c r="K75" i="11" s="1"/>
  <c r="J85" i="11"/>
  <c r="K85" i="11" s="1"/>
  <c r="J58" i="11"/>
  <c r="K58" i="11" s="1"/>
  <c r="J87" i="11"/>
  <c r="K87" i="11" s="1"/>
  <c r="J64" i="11"/>
  <c r="K64" i="11" s="1"/>
  <c r="J63" i="11"/>
  <c r="K63" i="11" s="1"/>
  <c r="J76" i="11"/>
  <c r="K76" i="11" s="1"/>
  <c r="J68" i="11"/>
  <c r="K68" i="11" s="1"/>
  <c r="J74" i="11"/>
  <c r="K74" i="11" s="1"/>
  <c r="J80" i="11"/>
  <c r="K80" i="11" s="1"/>
  <c r="J60" i="11"/>
  <c r="K60" i="11" s="1"/>
  <c r="J65" i="11"/>
  <c r="K65" i="11" s="1"/>
  <c r="J79" i="11"/>
  <c r="K79" i="11" s="1"/>
  <c r="J92" i="11"/>
  <c r="K92" i="11" s="1"/>
  <c r="J59" i="11"/>
  <c r="K59" i="11" s="1"/>
  <c r="J57" i="11"/>
  <c r="K57" i="11" s="1"/>
  <c r="J77" i="11"/>
  <c r="K77" i="11" s="1"/>
  <c r="J63" i="13"/>
  <c r="K63" i="13" s="1"/>
  <c r="J73" i="11"/>
  <c r="K73" i="11" s="1"/>
  <c r="J96" i="11"/>
  <c r="K96" i="11" s="1"/>
  <c r="J90" i="11"/>
  <c r="K90" i="11" s="1"/>
  <c r="J67" i="11"/>
  <c r="K67" i="11" s="1"/>
  <c r="J86" i="11"/>
  <c r="K86" i="11" s="1"/>
  <c r="J61" i="11"/>
  <c r="K61" i="11" s="1"/>
  <c r="J94" i="11"/>
  <c r="K94" i="11" s="1"/>
  <c r="J71" i="11"/>
  <c r="K71" i="11" s="1"/>
  <c r="J66" i="11"/>
  <c r="K66" i="11" s="1"/>
  <c r="J69" i="11"/>
  <c r="K69" i="11" s="1"/>
  <c r="D47" i="13"/>
  <c r="F17" i="13" s="1"/>
  <c r="F18" i="13" s="1"/>
  <c r="F21" i="13" s="1"/>
  <c r="F24" i="13" s="1"/>
  <c r="J72" i="11"/>
  <c r="K72" i="11" s="1"/>
  <c r="J78" i="11"/>
  <c r="K78" i="11" s="1"/>
  <c r="J83" i="11"/>
  <c r="K83" i="11" s="1"/>
  <c r="J91" i="11"/>
  <c r="K91" i="11" s="1"/>
  <c r="J93" i="11"/>
  <c r="K93" i="11" s="1"/>
  <c r="J89" i="11"/>
  <c r="K89" i="11" s="1"/>
  <c r="J88" i="11"/>
  <c r="K88" i="11" s="1"/>
  <c r="J62" i="11"/>
  <c r="K62" i="11" s="1"/>
  <c r="J82" i="11"/>
  <c r="K82" i="11" s="1"/>
  <c r="J81" i="11"/>
  <c r="K81" i="11" s="1"/>
  <c r="J70" i="11"/>
  <c r="K70" i="11" s="1"/>
  <c r="J57" i="13"/>
  <c r="K57" i="13" s="1"/>
  <c r="J69" i="13"/>
  <c r="K69" i="13" s="1"/>
  <c r="J80" i="13"/>
  <c r="K80" i="13" s="1"/>
  <c r="J61" i="13"/>
  <c r="K61" i="13" s="1"/>
  <c r="J62" i="13"/>
  <c r="K62" i="13" s="1"/>
  <c r="J81" i="13"/>
  <c r="K81" i="13" s="1"/>
  <c r="J93" i="13"/>
  <c r="K93" i="13" s="1"/>
  <c r="J85" i="13"/>
  <c r="K85" i="13" s="1"/>
  <c r="J94" i="13"/>
  <c r="K94" i="13" s="1"/>
  <c r="J58" i="13"/>
  <c r="K58" i="13" s="1"/>
  <c r="J68" i="13"/>
  <c r="K68" i="13" s="1"/>
  <c r="J55" i="13"/>
  <c r="K55" i="13" s="1"/>
  <c r="J66" i="13"/>
  <c r="K66" i="13" s="1"/>
  <c r="J65" i="13"/>
  <c r="K65" i="13" s="1"/>
  <c r="J84" i="13"/>
  <c r="K84" i="13" s="1"/>
  <c r="J73" i="13"/>
  <c r="K73" i="13" s="1"/>
  <c r="J70" i="13"/>
  <c r="K70" i="13" s="1"/>
  <c r="J56" i="13"/>
  <c r="K56" i="13" s="1"/>
  <c r="J87" i="13"/>
  <c r="K87" i="13" s="1"/>
  <c r="J59" i="13"/>
  <c r="K59" i="13" s="1"/>
  <c r="J82" i="13"/>
  <c r="K82" i="13" s="1"/>
  <c r="J83" i="13"/>
  <c r="K83" i="13" s="1"/>
  <c r="J92" i="13"/>
  <c r="K92" i="13" s="1"/>
  <c r="J67" i="13"/>
  <c r="K67" i="13" s="1"/>
  <c r="J86" i="13"/>
  <c r="K86" i="13" s="1"/>
  <c r="J72" i="13"/>
  <c r="K72" i="13" s="1"/>
  <c r="J71" i="13"/>
  <c r="K71" i="13" s="1"/>
  <c r="J77" i="13"/>
  <c r="K77" i="13" s="1"/>
  <c r="J90" i="13"/>
  <c r="K90" i="13" s="1"/>
  <c r="D46" i="13"/>
  <c r="E17" i="13" s="1"/>
  <c r="E18" i="13" s="1"/>
  <c r="E20" i="13" s="1"/>
  <c r="J89" i="13"/>
  <c r="K89" i="13" s="1"/>
  <c r="J76" i="13"/>
  <c r="K76" i="13" s="1"/>
  <c r="J60" i="13"/>
  <c r="K60" i="13" s="1"/>
  <c r="J91" i="13"/>
  <c r="K91" i="13" s="1"/>
  <c r="J78" i="13"/>
  <c r="K78" i="13" s="1"/>
  <c r="J79" i="13"/>
  <c r="K79" i="13" s="1"/>
  <c r="J88" i="13"/>
  <c r="K88" i="13" s="1"/>
  <c r="J64" i="13"/>
  <c r="K64" i="13" s="1"/>
  <c r="J75" i="13"/>
  <c r="K75" i="13" s="1"/>
  <c r="C20" i="12"/>
  <c r="C24" i="12" s="1"/>
  <c r="H61" i="12"/>
  <c r="G62" i="12" s="1"/>
  <c r="J61" i="12" s="1"/>
  <c r="D57" i="9"/>
  <c r="D24" i="12"/>
  <c r="D26" i="12"/>
  <c r="D30" i="12" s="1"/>
  <c r="E29" i="12"/>
  <c r="E24" i="12"/>
  <c r="G20" i="13"/>
  <c r="G21" i="13"/>
  <c r="G24" i="13" s="1"/>
  <c r="G23" i="13"/>
  <c r="D36" i="11" l="1"/>
  <c r="D20" i="13"/>
  <c r="G36" i="11"/>
  <c r="G28" i="11" s="1"/>
  <c r="P15" i="11" s="1"/>
  <c r="C21" i="13"/>
  <c r="C24" i="13" s="1"/>
  <c r="C20" i="13"/>
  <c r="D23" i="13"/>
  <c r="B36" i="11"/>
  <c r="E57" i="9" s="1"/>
  <c r="E36" i="11"/>
  <c r="E28" i="11" s="1"/>
  <c r="N15" i="11" s="1"/>
  <c r="C36" i="11"/>
  <c r="C28" i="11" s="1"/>
  <c r="L15" i="11" s="1"/>
  <c r="F36" i="11"/>
  <c r="F28" i="11" s="1"/>
  <c r="O15" i="11" s="1"/>
  <c r="G33" i="13"/>
  <c r="E33" i="13"/>
  <c r="F23" i="13"/>
  <c r="F20" i="13"/>
  <c r="E23" i="13"/>
  <c r="D28" i="11"/>
  <c r="M15" i="11" s="1"/>
  <c r="C29" i="12"/>
  <c r="E21" i="13"/>
  <c r="E24" i="13" s="1"/>
  <c r="B33" i="13"/>
  <c r="J57" i="9" s="1"/>
  <c r="C33" i="13"/>
  <c r="D33" i="13"/>
  <c r="F33" i="13"/>
  <c r="C26" i="12"/>
  <c r="C30" i="12" s="1"/>
  <c r="I61" i="12"/>
  <c r="C19" i="12" s="1"/>
  <c r="C21" i="12" s="1"/>
  <c r="H63" i="12"/>
  <c r="G64" i="12" s="1"/>
  <c r="J63" i="12" s="1"/>
  <c r="B28" i="11" l="1"/>
  <c r="B33" i="12" s="1"/>
  <c r="B34" i="13"/>
  <c r="B25" i="13" s="1"/>
  <c r="B44" i="12"/>
  <c r="B35" i="12" s="1"/>
  <c r="G34" i="13"/>
  <c r="G25" i="13" s="1"/>
  <c r="P15" i="13" s="1"/>
  <c r="P16" i="13" s="1"/>
  <c r="C44" i="12"/>
  <c r="C35" i="12" s="1"/>
  <c r="F34" i="13"/>
  <c r="F25" i="13" s="1"/>
  <c r="O15" i="13" s="1"/>
  <c r="D44" i="12"/>
  <c r="D35" i="12" s="1"/>
  <c r="E34" i="13"/>
  <c r="E25" i="13" s="1"/>
  <c r="N15" i="13" s="1"/>
  <c r="N16" i="13" s="1"/>
  <c r="E44" i="12"/>
  <c r="E35" i="12" s="1"/>
  <c r="D34" i="13"/>
  <c r="D25" i="13" s="1"/>
  <c r="M15" i="13" s="1"/>
  <c r="M16" i="13" s="1"/>
  <c r="F44" i="12"/>
  <c r="F35" i="12" s="1"/>
  <c r="C34" i="13"/>
  <c r="C25" i="13" s="1"/>
  <c r="L15" i="13" s="1"/>
  <c r="L16" i="13" s="1"/>
  <c r="G44" i="12"/>
  <c r="G35" i="12" s="1"/>
  <c r="H65" i="12"/>
  <c r="G66" i="12" s="1"/>
  <c r="J65" i="12" s="1"/>
  <c r="D17" i="12"/>
  <c r="H62" i="12"/>
  <c r="K57" i="9"/>
  <c r="L57" i="9" s="1"/>
  <c r="E51" i="9" s="1"/>
  <c r="C72" i="9" s="1"/>
  <c r="B72" i="9" s="1"/>
  <c r="K15" i="11"/>
  <c r="K61" i="9" s="1"/>
  <c r="F57" i="9"/>
  <c r="E47" i="9" s="1"/>
  <c r="C68" i="9" s="1"/>
  <c r="B68" i="9" s="1"/>
  <c r="N24" i="12"/>
  <c r="M24" i="12"/>
  <c r="O24" i="12"/>
  <c r="P24" i="12"/>
  <c r="L24" i="12"/>
  <c r="E17" i="12"/>
  <c r="C25" i="12"/>
  <c r="L20" i="12"/>
  <c r="G17" i="12"/>
  <c r="G23" i="12" s="1"/>
  <c r="B34" i="12" l="1"/>
  <c r="F17" i="12" s="1"/>
  <c r="F23" i="12" s="1"/>
  <c r="O16" i="13"/>
  <c r="K16" i="13" s="1"/>
  <c r="J61" i="9" s="1"/>
  <c r="K15" i="13"/>
  <c r="H64" i="12"/>
  <c r="G63" i="12"/>
  <c r="J62" i="12" s="1"/>
  <c r="I63" i="12" s="1"/>
  <c r="E19" i="12" s="1"/>
  <c r="E21" i="12" s="1"/>
  <c r="E25" i="12" s="1"/>
  <c r="E61" i="9"/>
  <c r="K24" i="12"/>
  <c r="D61" i="9" s="1"/>
  <c r="E23" i="12"/>
  <c r="C23" i="12"/>
  <c r="L17" i="12" s="1"/>
  <c r="C27" i="12"/>
  <c r="N20" i="12"/>
  <c r="D23" i="12"/>
  <c r="M20" i="12"/>
  <c r="B42" i="3"/>
  <c r="B27" i="4"/>
  <c r="B31" i="4"/>
  <c r="B38" i="3"/>
  <c r="B30" i="2"/>
  <c r="B34" i="2"/>
  <c r="O20" i="12" l="1"/>
  <c r="H17" i="12"/>
  <c r="P20" i="12"/>
  <c r="G65" i="12"/>
  <c r="J64" i="12" s="1"/>
  <c r="I65" i="12" s="1"/>
  <c r="G19" i="12" s="1"/>
  <c r="G21" i="12" s="1"/>
  <c r="E27" i="12"/>
  <c r="I62" i="12"/>
  <c r="D19" i="12" s="1"/>
  <c r="D21" i="12" s="1"/>
  <c r="D27" i="12" s="1"/>
  <c r="P17" i="12"/>
  <c r="K20" i="12"/>
  <c r="H23" i="12"/>
  <c r="I23" i="12" s="1"/>
  <c r="N17" i="12"/>
  <c r="O17" i="12"/>
  <c r="M17" i="12"/>
  <c r="I50" i="8"/>
  <c r="I51" i="8"/>
  <c r="I52" i="8"/>
  <c r="I53" i="8"/>
  <c r="I54" i="8"/>
  <c r="J54" i="8"/>
  <c r="J51" i="8"/>
  <c r="J52" i="8"/>
  <c r="J53" i="8"/>
  <c r="J50" i="8"/>
  <c r="I64" i="12" l="1"/>
  <c r="F19" i="12" s="1"/>
  <c r="F21" i="12" s="1"/>
  <c r="G27" i="12"/>
  <c r="G25" i="12"/>
  <c r="D25" i="12"/>
  <c r="K17" i="12"/>
  <c r="E55" i="9" s="1"/>
  <c r="F55" i="9" s="1"/>
  <c r="G9" i="4"/>
  <c r="E9" i="4"/>
  <c r="G6" i="4"/>
  <c r="G5" i="4"/>
  <c r="G9" i="3"/>
  <c r="G6" i="3"/>
  <c r="G5" i="3"/>
  <c r="C58" i="3"/>
  <c r="B59" i="3" s="1"/>
  <c r="C55" i="2"/>
  <c r="C56" i="2"/>
  <c r="C57" i="2"/>
  <c r="B58" i="2" s="1"/>
  <c r="G9" i="2"/>
  <c r="G6" i="2"/>
  <c r="G5" i="2"/>
  <c r="H18" i="1"/>
  <c r="F8" i="2" s="1"/>
  <c r="Y22" i="1"/>
  <c r="X22" i="1"/>
  <c r="W22" i="1"/>
  <c r="V22" i="1"/>
  <c r="Z22" i="1" s="1"/>
  <c r="H19" i="1"/>
  <c r="G8" i="3" s="1"/>
  <c r="F25" i="12" l="1"/>
  <c r="F27" i="12"/>
  <c r="E45" i="9"/>
  <c r="C66" i="9" s="1"/>
  <c r="B66" i="9" s="1"/>
  <c r="AC50" i="1"/>
  <c r="AA22" i="1"/>
  <c r="S22" i="1" s="1"/>
  <c r="G32" i="2" s="1"/>
  <c r="G10" i="3"/>
  <c r="G10" i="4"/>
  <c r="G8" i="4"/>
  <c r="G8" i="2"/>
  <c r="G10" i="2"/>
  <c r="G7" i="2"/>
  <c r="G7" i="4"/>
  <c r="G7" i="3"/>
  <c r="H14" i="1"/>
  <c r="H15" i="1"/>
  <c r="H16" i="1"/>
  <c r="H17" i="1"/>
  <c r="I20" i="1" l="1"/>
  <c r="G26" i="2"/>
  <c r="G12" i="2"/>
  <c r="G32" i="3"/>
  <c r="G11" i="2"/>
  <c r="G16" i="2" s="1"/>
  <c r="E6" i="2"/>
  <c r="Q22" i="1" l="1"/>
  <c r="G29" i="4" s="1"/>
  <c r="G13" i="2"/>
  <c r="G14" i="2" s="1"/>
  <c r="G16" i="4"/>
  <c r="Y21" i="1"/>
  <c r="Y20" i="1"/>
  <c r="Y17" i="1"/>
  <c r="Y19" i="1"/>
  <c r="Y18" i="1"/>
  <c r="X17" i="1"/>
  <c r="G11" i="3" l="1"/>
  <c r="G16" i="3" s="1"/>
  <c r="G22" i="3" s="1"/>
  <c r="G28" i="3" s="1"/>
  <c r="G11" i="4"/>
  <c r="G40" i="3"/>
  <c r="G12" i="4"/>
  <c r="G12" i="3"/>
  <c r="G20" i="2"/>
  <c r="G23" i="2" s="1"/>
  <c r="V17" i="1"/>
  <c r="G13" i="3" l="1"/>
  <c r="G14" i="3" s="1"/>
  <c r="G13" i="4"/>
  <c r="G14" i="4" s="1"/>
  <c r="G19" i="4"/>
  <c r="G22" i="4" s="1"/>
  <c r="Z17" i="1"/>
  <c r="AA17" i="1" l="1"/>
  <c r="I5" i="5"/>
  <c r="I6" i="5"/>
  <c r="I7" i="5"/>
  <c r="I8" i="5"/>
  <c r="I4" i="5"/>
  <c r="W50" i="1" l="1"/>
  <c r="Y50" i="1" l="1"/>
  <c r="X50" i="1"/>
  <c r="G5" i="5" l="1"/>
  <c r="G6" i="5"/>
  <c r="G7" i="5"/>
  <c r="G8" i="5"/>
  <c r="C43" i="4" l="1"/>
  <c r="B44" i="4" s="1"/>
  <c r="B43" i="4"/>
  <c r="B40" i="4"/>
  <c r="B58" i="3"/>
  <c r="C56" i="3"/>
  <c r="B57" i="3" s="1"/>
  <c r="B56" i="3"/>
  <c r="B55" i="3"/>
  <c r="B54" i="3"/>
  <c r="B53" i="3"/>
  <c r="B57" i="2"/>
  <c r="B56" i="2"/>
  <c r="C54" i="2"/>
  <c r="B55" i="2" s="1"/>
  <c r="C53" i="2"/>
  <c r="B54" i="2" s="1"/>
  <c r="C52" i="2"/>
  <c r="B53" i="2" s="1"/>
  <c r="B52" i="2"/>
  <c r="B49" i="2"/>
  <c r="F9" i="4" l="1"/>
  <c r="D9" i="4"/>
  <c r="C9" i="4"/>
  <c r="B9" i="4"/>
  <c r="F8" i="4"/>
  <c r="E8" i="4"/>
  <c r="D8" i="4"/>
  <c r="C8" i="4"/>
  <c r="B8" i="4"/>
  <c r="F6" i="4"/>
  <c r="E6" i="4"/>
  <c r="D6" i="4"/>
  <c r="C6" i="4"/>
  <c r="B6" i="4"/>
  <c r="B5" i="4"/>
  <c r="F9" i="3"/>
  <c r="E9" i="3"/>
  <c r="D9" i="3"/>
  <c r="C9" i="3"/>
  <c r="B9" i="3"/>
  <c r="B10" i="4" l="1"/>
  <c r="B7" i="4"/>
  <c r="F8" i="3"/>
  <c r="E8" i="3"/>
  <c r="D8" i="3"/>
  <c r="C8" i="3"/>
  <c r="B8" i="3"/>
  <c r="F6" i="3"/>
  <c r="E6" i="3"/>
  <c r="D6" i="3"/>
  <c r="C6" i="3"/>
  <c r="B6" i="3"/>
  <c r="B5" i="3"/>
  <c r="B7" i="3" l="1"/>
  <c r="B10" i="3"/>
  <c r="F9" i="2"/>
  <c r="E9" i="2"/>
  <c r="D9" i="2"/>
  <c r="C9" i="2"/>
  <c r="B9" i="2"/>
  <c r="E8" i="2"/>
  <c r="D8" i="2"/>
  <c r="C8" i="2"/>
  <c r="B8" i="2"/>
  <c r="F6" i="2"/>
  <c r="D6" i="2"/>
  <c r="C6" i="2"/>
  <c r="B6" i="2"/>
  <c r="B5" i="2"/>
  <c r="B7" i="2" l="1"/>
  <c r="B10" i="2"/>
  <c r="W17" i="1"/>
  <c r="AC8" i="1" l="1"/>
  <c r="I15" i="1" s="1"/>
  <c r="S17" i="1" s="1"/>
  <c r="B11" i="2" l="1"/>
  <c r="B12" i="2"/>
  <c r="B32" i="2"/>
  <c r="B26" i="2"/>
  <c r="B32" i="3"/>
  <c r="Q17" i="1"/>
  <c r="B11" i="3" s="1"/>
  <c r="B17" i="3" s="1"/>
  <c r="U40" i="1"/>
  <c r="B13" i="2" l="1"/>
  <c r="B14" i="2" s="1"/>
  <c r="B16" i="2"/>
  <c r="B16" i="4" s="1"/>
  <c r="B12" i="4"/>
  <c r="B29" i="4"/>
  <c r="B12" i="3"/>
  <c r="B13" i="3" s="1"/>
  <c r="B14" i="3" s="1"/>
  <c r="B40" i="3"/>
  <c r="B11" i="4"/>
  <c r="B23" i="3"/>
  <c r="B16" i="3"/>
  <c r="B22" i="3" s="1"/>
  <c r="B20" i="2" l="1"/>
  <c r="B23" i="2" s="1"/>
  <c r="B13" i="4"/>
  <c r="B14" i="4" s="1"/>
  <c r="B19" i="4"/>
  <c r="B28" i="3"/>
  <c r="B22" i="4" l="1"/>
  <c r="D45" i="11" l="1"/>
  <c r="B17" i="11" s="1"/>
  <c r="P7" i="11" s="1"/>
  <c r="D43" i="13"/>
  <c r="B17" i="13" s="1"/>
  <c r="N6" i="13" s="1"/>
  <c r="I60" i="12"/>
  <c r="B19" i="12" s="1"/>
  <c r="O19" i="12" s="1"/>
  <c r="D60" i="12"/>
  <c r="B18" i="11" l="1"/>
  <c r="B21" i="11" s="1"/>
  <c r="O7" i="11"/>
  <c r="B18" i="12"/>
  <c r="B32" i="12" s="1"/>
  <c r="O6" i="13"/>
  <c r="N6" i="11"/>
  <c r="M7" i="11"/>
  <c r="L9" i="11"/>
  <c r="P9" i="11"/>
  <c r="C27" i="11"/>
  <c r="G27" i="11"/>
  <c r="O6" i="11"/>
  <c r="N7" i="11"/>
  <c r="M9" i="11"/>
  <c r="D27" i="11"/>
  <c r="L7" i="11"/>
  <c r="O9" i="11"/>
  <c r="F27" i="11"/>
  <c r="L6" i="11"/>
  <c r="N9" i="11"/>
  <c r="E27" i="11"/>
  <c r="M6" i="11"/>
  <c r="P6" i="11"/>
  <c r="O18" i="12"/>
  <c r="L19" i="12"/>
  <c r="P19" i="12"/>
  <c r="L21" i="12"/>
  <c r="P21" i="12"/>
  <c r="L18" i="12"/>
  <c r="P18" i="12"/>
  <c r="M19" i="12"/>
  <c r="M21" i="12"/>
  <c r="B21" i="12"/>
  <c r="M18" i="12"/>
  <c r="N21" i="12"/>
  <c r="N18" i="12"/>
  <c r="O21" i="12"/>
  <c r="N19" i="12"/>
  <c r="B27" i="11"/>
  <c r="L6" i="13"/>
  <c r="P6" i="13"/>
  <c r="N7" i="13"/>
  <c r="L9" i="13"/>
  <c r="P9" i="13"/>
  <c r="B18" i="13"/>
  <c r="M6" i="13"/>
  <c r="O7" i="13"/>
  <c r="M9" i="13"/>
  <c r="L7" i="13"/>
  <c r="N9" i="13"/>
  <c r="M7" i="13"/>
  <c r="O9" i="13"/>
  <c r="P7" i="13"/>
  <c r="L10" i="11" l="1"/>
  <c r="L16" i="11" s="1"/>
  <c r="N8" i="12"/>
  <c r="K6" i="13"/>
  <c r="B20" i="11"/>
  <c r="N10" i="11"/>
  <c r="N13" i="11" s="1"/>
  <c r="P10" i="11"/>
  <c r="P13" i="11" s="1"/>
  <c r="B24" i="11"/>
  <c r="M10" i="11"/>
  <c r="M16" i="11" s="1"/>
  <c r="O10" i="11"/>
  <c r="O16" i="11" s="1"/>
  <c r="L7" i="12"/>
  <c r="M7" i="12"/>
  <c r="N10" i="12"/>
  <c r="C32" i="12"/>
  <c r="M8" i="12"/>
  <c r="E32" i="12"/>
  <c r="O7" i="12"/>
  <c r="L10" i="12"/>
  <c r="D32" i="12"/>
  <c r="P8" i="12"/>
  <c r="O8" i="12"/>
  <c r="O10" i="12"/>
  <c r="N7" i="12"/>
  <c r="F32" i="12"/>
  <c r="P10" i="12"/>
  <c r="B20" i="12"/>
  <c r="L11" i="12" s="1"/>
  <c r="L14" i="12" s="1"/>
  <c r="G32" i="12"/>
  <c r="L8" i="12"/>
  <c r="K7" i="11"/>
  <c r="K21" i="12"/>
  <c r="M10" i="12"/>
  <c r="K7" i="13"/>
  <c r="K9" i="13"/>
  <c r="K6" i="11"/>
  <c r="K9" i="11"/>
  <c r="K18" i="12"/>
  <c r="K19" i="12"/>
  <c r="P7" i="12"/>
  <c r="L11" i="11"/>
  <c r="P11" i="11"/>
  <c r="M11" i="11"/>
  <c r="N11" i="11"/>
  <c r="B25" i="11"/>
  <c r="O11" i="11"/>
  <c r="N10" i="13"/>
  <c r="B21" i="13"/>
  <c r="O10" i="13"/>
  <c r="B23" i="13"/>
  <c r="P10" i="13"/>
  <c r="B20" i="13"/>
  <c r="L10" i="13"/>
  <c r="M10" i="13"/>
  <c r="N22" i="12"/>
  <c r="N25" i="12" s="1"/>
  <c r="B27" i="12"/>
  <c r="O22" i="12"/>
  <c r="O25" i="12" s="1"/>
  <c r="L22" i="12"/>
  <c r="L25" i="12" s="1"/>
  <c r="M22" i="12"/>
  <c r="M25" i="12" s="1"/>
  <c r="B25" i="12"/>
  <c r="P22" i="12"/>
  <c r="L13" i="11" l="1"/>
  <c r="K7" i="12"/>
  <c r="E56" i="9" s="1"/>
  <c r="K8" i="12"/>
  <c r="K10" i="12"/>
  <c r="K10" i="11"/>
  <c r="E59" i="9" s="1"/>
  <c r="O13" i="11"/>
  <c r="K13" i="11" s="1"/>
  <c r="M13" i="11"/>
  <c r="N16" i="11"/>
  <c r="K16" i="11" s="1"/>
  <c r="P16" i="11"/>
  <c r="O11" i="12"/>
  <c r="O14" i="12" s="1"/>
  <c r="N11" i="12"/>
  <c r="N14" i="12" s="1"/>
  <c r="B24" i="12"/>
  <c r="M11" i="12"/>
  <c r="M14" i="12" s="1"/>
  <c r="B29" i="12"/>
  <c r="P11" i="12"/>
  <c r="P14" i="12" s="1"/>
  <c r="B26" i="12"/>
  <c r="M12" i="12" s="1"/>
  <c r="M15" i="12" s="1"/>
  <c r="K56" i="9"/>
  <c r="M14" i="11"/>
  <c r="M17" i="11"/>
  <c r="K10" i="13"/>
  <c r="J59" i="9" s="1"/>
  <c r="P17" i="13"/>
  <c r="P13" i="13"/>
  <c r="P14" i="11"/>
  <c r="P17" i="11"/>
  <c r="K11" i="11"/>
  <c r="P25" i="12"/>
  <c r="K25" i="12" s="1"/>
  <c r="K22" i="12"/>
  <c r="L13" i="13"/>
  <c r="L17" i="13"/>
  <c r="O13" i="13"/>
  <c r="O17" i="13"/>
  <c r="L14" i="11"/>
  <c r="L17" i="11"/>
  <c r="N13" i="13"/>
  <c r="N17" i="13"/>
  <c r="M17" i="13"/>
  <c r="M13" i="13"/>
  <c r="O17" i="11"/>
  <c r="O14" i="11"/>
  <c r="L23" i="12"/>
  <c r="L26" i="12" s="1"/>
  <c r="P23" i="12"/>
  <c r="M23" i="12"/>
  <c r="M26" i="12" s="1"/>
  <c r="N23" i="12"/>
  <c r="N26" i="12" s="1"/>
  <c r="O23" i="12"/>
  <c r="O26" i="12" s="1"/>
  <c r="L11" i="13"/>
  <c r="P11" i="13"/>
  <c r="M11" i="13"/>
  <c r="N11" i="13"/>
  <c r="B24" i="13"/>
  <c r="O11" i="13"/>
  <c r="N17" i="11"/>
  <c r="N14" i="11"/>
  <c r="K59" i="9" l="1"/>
  <c r="K11" i="12"/>
  <c r="D59" i="9" s="1"/>
  <c r="K14" i="12"/>
  <c r="D62" i="9" s="1"/>
  <c r="E62" i="9"/>
  <c r="B30" i="12"/>
  <c r="L12" i="12"/>
  <c r="L15" i="12" s="1"/>
  <c r="O12" i="12"/>
  <c r="O15" i="12" s="1"/>
  <c r="P12" i="12"/>
  <c r="N12" i="12"/>
  <c r="N15" i="12" s="1"/>
  <c r="L56" i="9"/>
  <c r="E50" i="9" s="1"/>
  <c r="C71" i="9" s="1"/>
  <c r="F56" i="9"/>
  <c r="E46" i="9" s="1"/>
  <c r="C67" i="9" s="1"/>
  <c r="K62" i="9"/>
  <c r="K14" i="11"/>
  <c r="K13" i="13"/>
  <c r="K17" i="13"/>
  <c r="K17" i="11"/>
  <c r="L14" i="13"/>
  <c r="L18" i="13"/>
  <c r="E60" i="9"/>
  <c r="K60" i="9"/>
  <c r="N18" i="13"/>
  <c r="N14" i="13"/>
  <c r="M14" i="13"/>
  <c r="M18" i="13"/>
  <c r="P26" i="12"/>
  <c r="K26" i="12" s="1"/>
  <c r="K23" i="12"/>
  <c r="O18" i="13"/>
  <c r="O14" i="13"/>
  <c r="P14" i="13"/>
  <c r="P18" i="13"/>
  <c r="K11" i="13"/>
  <c r="J60" i="9" s="1"/>
  <c r="B71" i="9" l="1"/>
  <c r="K12" i="12"/>
  <c r="D60" i="9" s="1"/>
  <c r="F62" i="9"/>
  <c r="B67" i="9"/>
  <c r="E63" i="9"/>
  <c r="J62" i="9"/>
  <c r="L62" i="9" s="1"/>
  <c r="I47" i="9" s="1"/>
  <c r="P15" i="12"/>
  <c r="K15" i="12" s="1"/>
  <c r="D63" i="9" s="1"/>
  <c r="K63" i="9"/>
  <c r="K18" i="13"/>
  <c r="K14" i="13"/>
  <c r="F63" i="9" l="1"/>
  <c r="I45" i="9" s="1"/>
  <c r="B73" i="9" s="1"/>
  <c r="E74" i="9"/>
  <c r="B76" i="9" s="1"/>
  <c r="B31" i="9" s="1"/>
  <c r="B74" i="9"/>
  <c r="C74" i="9"/>
  <c r="B29" i="9" s="1"/>
  <c r="J63" i="9"/>
  <c r="L63" i="9" s="1"/>
  <c r="C73" i="9" l="1"/>
  <c r="B24" i="9" s="1"/>
  <c r="E73" i="9"/>
  <c r="B75" i="9" s="1"/>
  <c r="B26" i="9" s="1"/>
  <c r="D82" i="1"/>
  <c r="C19" i="1" s="1"/>
  <c r="D80" i="1" l="1"/>
  <c r="C17" i="1" s="1"/>
  <c r="D81" i="1"/>
  <c r="C18" i="1" l="1"/>
  <c r="E5" i="3" s="1"/>
  <c r="V19" i="1"/>
  <c r="Z19" i="1" s="1"/>
  <c r="AA19" i="1" s="1"/>
  <c r="W52" i="1" s="1"/>
  <c r="X20" i="1"/>
  <c r="B82" i="1"/>
  <c r="W21" i="1"/>
  <c r="V21" i="1"/>
  <c r="Z21" i="1" s="1"/>
  <c r="X21" i="1"/>
  <c r="F5" i="4"/>
  <c r="F5" i="2"/>
  <c r="F5" i="3"/>
  <c r="V20" i="1" l="1"/>
  <c r="Z20" i="1" s="1"/>
  <c r="AA20" i="1" s="1"/>
  <c r="S20" i="1" s="1"/>
  <c r="E26" i="2" s="1"/>
  <c r="W20" i="1"/>
  <c r="E5" i="2"/>
  <c r="E10" i="2" s="1"/>
  <c r="E5" i="4"/>
  <c r="E10" i="4" s="1"/>
  <c r="B81" i="1"/>
  <c r="AC16" i="1"/>
  <c r="I17" i="1" s="1"/>
  <c r="Q19" i="1" s="1"/>
  <c r="D40" i="3" s="1"/>
  <c r="S19" i="1"/>
  <c r="D26" i="2" s="1"/>
  <c r="D5" i="3"/>
  <c r="D7" i="3" s="1"/>
  <c r="W19" i="1"/>
  <c r="E7" i="3"/>
  <c r="E10" i="3"/>
  <c r="B80" i="1"/>
  <c r="D5" i="4"/>
  <c r="X19" i="1"/>
  <c r="D5" i="2"/>
  <c r="D7" i="2" s="1"/>
  <c r="W40" i="1"/>
  <c r="Y40" i="1" s="1"/>
  <c r="AA21" i="1"/>
  <c r="S21" i="1" s="1"/>
  <c r="AC43" i="1"/>
  <c r="I19" i="1" s="1"/>
  <c r="F10" i="3"/>
  <c r="F7" i="3"/>
  <c r="F10" i="2"/>
  <c r="F7" i="2"/>
  <c r="F7" i="4"/>
  <c r="F10" i="4"/>
  <c r="E32" i="2"/>
  <c r="E12" i="2"/>
  <c r="Y52" i="1"/>
  <c r="X52" i="1"/>
  <c r="E11" i="2" l="1"/>
  <c r="E7" i="2"/>
  <c r="AC20" i="1"/>
  <c r="I18" i="1" s="1"/>
  <c r="Q20" i="1" s="1"/>
  <c r="E40" i="3" s="1"/>
  <c r="E32" i="3"/>
  <c r="D10" i="3"/>
  <c r="E7" i="4"/>
  <c r="D32" i="2"/>
  <c r="D12" i="2"/>
  <c r="D32" i="3"/>
  <c r="D11" i="2"/>
  <c r="D16" i="2" s="1"/>
  <c r="D20" i="2" s="1"/>
  <c r="D11" i="3"/>
  <c r="D16" i="3" s="1"/>
  <c r="D11" i="4"/>
  <c r="D10" i="2"/>
  <c r="D12" i="3"/>
  <c r="D12" i="4"/>
  <c r="D29" i="4"/>
  <c r="D7" i="4"/>
  <c r="D10" i="4"/>
  <c r="X40" i="1"/>
  <c r="Q21" i="1"/>
  <c r="F11" i="2"/>
  <c r="F32" i="3"/>
  <c r="F12" i="2"/>
  <c r="F26" i="2"/>
  <c r="F32" i="2"/>
  <c r="E13" i="2"/>
  <c r="E14" i="2" s="1"/>
  <c r="E16" i="2"/>
  <c r="E16" i="4" s="1"/>
  <c r="E12" i="4" l="1"/>
  <c r="E29" i="4"/>
  <c r="E12" i="3"/>
  <c r="E11" i="4"/>
  <c r="E19" i="4" s="1"/>
  <c r="E22" i="4" s="1"/>
  <c r="E11" i="3"/>
  <c r="E16" i="3" s="1"/>
  <c r="E22" i="3" s="1"/>
  <c r="E28" i="3" s="1"/>
  <c r="D13" i="2"/>
  <c r="D14" i="2" s="1"/>
  <c r="D13" i="3"/>
  <c r="D14" i="3" s="1"/>
  <c r="D13" i="4"/>
  <c r="D14" i="4" s="1"/>
  <c r="F16" i="2"/>
  <c r="F16" i="4" s="1"/>
  <c r="F13" i="2"/>
  <c r="F14" i="2" s="1"/>
  <c r="F29" i="4"/>
  <c r="F11" i="4"/>
  <c r="F12" i="4"/>
  <c r="F11" i="3"/>
  <c r="F40" i="3"/>
  <c r="F12" i="3"/>
  <c r="D22" i="3"/>
  <c r="E20" i="2"/>
  <c r="E23" i="2" s="1"/>
  <c r="D23" i="2"/>
  <c r="D16" i="4"/>
  <c r="E13" i="3" l="1"/>
  <c r="E14" i="3" s="1"/>
  <c r="E13" i="4"/>
  <c r="E14" i="4" s="1"/>
  <c r="F13" i="4"/>
  <c r="F14" i="4" s="1"/>
  <c r="F19" i="4"/>
  <c r="F22" i="4" s="1"/>
  <c r="F13" i="3"/>
  <c r="F14" i="3" s="1"/>
  <c r="F16" i="3"/>
  <c r="F22" i="3" s="1"/>
  <c r="F28" i="3" s="1"/>
  <c r="F20" i="2"/>
  <c r="F23" i="2" s="1"/>
  <c r="D28" i="3"/>
  <c r="D19" i="4"/>
  <c r="D22" i="4" l="1"/>
  <c r="D79" i="1"/>
  <c r="B16" i="1" l="1"/>
  <c r="E11" i="1"/>
  <c r="B17" i="1"/>
  <c r="B18" i="1" s="1"/>
  <c r="B19" i="1" s="1"/>
  <c r="B20" i="1" s="1"/>
  <c r="C16" i="1"/>
  <c r="H54" i="3" l="1"/>
  <c r="G55" i="3" s="1"/>
  <c r="C50" i="3"/>
  <c r="C49" i="2"/>
  <c r="H55" i="3"/>
  <c r="G56" i="3" s="1"/>
  <c r="C5" i="3"/>
  <c r="W18" i="1"/>
  <c r="W42" i="1" s="1"/>
  <c r="X18" i="1"/>
  <c r="V18" i="1"/>
  <c r="Z18" i="1" s="1"/>
  <c r="B79" i="1"/>
  <c r="C5" i="4"/>
  <c r="C5" i="2"/>
  <c r="C7" i="2" l="1"/>
  <c r="C10" i="2"/>
  <c r="C10" i="3"/>
  <c r="C7" i="3"/>
  <c r="C10" i="4"/>
  <c r="C7" i="4"/>
  <c r="AA18" i="1"/>
  <c r="AC12" i="1"/>
  <c r="I16" i="1" s="1"/>
  <c r="Q18" i="1" l="1"/>
  <c r="C11" i="4" s="1"/>
  <c r="W51" i="1"/>
  <c r="S18" i="1"/>
  <c r="C12" i="4" l="1"/>
  <c r="C11" i="3"/>
  <c r="C16" i="3" s="1"/>
  <c r="C22" i="3" s="1"/>
  <c r="L6" i="3" s="1"/>
  <c r="C40" i="3"/>
  <c r="C29" i="4"/>
  <c r="C12" i="3"/>
  <c r="C13" i="4"/>
  <c r="C14" i="4" s="1"/>
  <c r="C26" i="2"/>
  <c r="C32" i="2"/>
  <c r="C11" i="2"/>
  <c r="C32" i="3"/>
  <c r="C12" i="2"/>
  <c r="X51" i="1"/>
  <c r="Y51" i="1"/>
  <c r="C13" i="3" l="1"/>
  <c r="C14" i="3" s="1"/>
  <c r="B15" i="3" s="1"/>
  <c r="I50" i="3" s="1"/>
  <c r="H40" i="3"/>
  <c r="B41" i="3" s="1"/>
  <c r="B43" i="3" s="1"/>
  <c r="M13" i="3"/>
  <c r="O13" i="3"/>
  <c r="P6" i="3"/>
  <c r="O6" i="3"/>
  <c r="P13" i="3"/>
  <c r="L13" i="3"/>
  <c r="M6" i="3"/>
  <c r="N13" i="3"/>
  <c r="N6" i="3"/>
  <c r="H22" i="3"/>
  <c r="I22" i="3" s="1"/>
  <c r="C28" i="3"/>
  <c r="C13" i="2"/>
  <c r="C14" i="2" s="1"/>
  <c r="C16" i="2"/>
  <c r="L5" i="2" s="1"/>
  <c r="P9" i="3"/>
  <c r="O9" i="3"/>
  <c r="H16" i="3"/>
  <c r="M9" i="3"/>
  <c r="L9" i="3"/>
  <c r="N9" i="3"/>
  <c r="K13" i="3" l="1"/>
  <c r="K9" i="3"/>
  <c r="D50" i="3"/>
  <c r="K6" i="3"/>
  <c r="B15" i="2"/>
  <c r="D49" i="2" s="1"/>
  <c r="E52" i="2" s="1"/>
  <c r="M5" i="2"/>
  <c r="O8" i="2"/>
  <c r="O5" i="2"/>
  <c r="L8" i="2"/>
  <c r="C16" i="4"/>
  <c r="H16" i="2"/>
  <c r="N8" i="2"/>
  <c r="C20" i="2"/>
  <c r="P8" i="2"/>
  <c r="M8" i="2"/>
  <c r="N5" i="2"/>
  <c r="P5" i="2"/>
  <c r="H32" i="2"/>
  <c r="B33" i="2" s="1"/>
  <c r="B35" i="2" s="1"/>
  <c r="B37" i="3"/>
  <c r="B39" i="3" s="1"/>
  <c r="G37" i="3"/>
  <c r="F37" i="3"/>
  <c r="C37" i="3"/>
  <c r="E37" i="3"/>
  <c r="D37" i="3"/>
  <c r="K5" i="2" l="1"/>
  <c r="E57" i="2"/>
  <c r="E54" i="2"/>
  <c r="E56" i="2"/>
  <c r="E51" i="2"/>
  <c r="D52" i="2" s="1"/>
  <c r="B18" i="2" s="1"/>
  <c r="E53" i="2"/>
  <c r="E55" i="2"/>
  <c r="J55" i="3"/>
  <c r="E53" i="3"/>
  <c r="E52" i="3"/>
  <c r="E55" i="3"/>
  <c r="E57" i="3"/>
  <c r="E54" i="3"/>
  <c r="J54" i="3"/>
  <c r="J53" i="3"/>
  <c r="E56" i="3"/>
  <c r="E58" i="3"/>
  <c r="K8" i="2"/>
  <c r="P12" i="2"/>
  <c r="N12" i="2"/>
  <c r="C23" i="2"/>
  <c r="O12" i="2"/>
  <c r="H20" i="2"/>
  <c r="I20" i="2" s="1"/>
  <c r="E29" i="2" s="1"/>
  <c r="L12" i="2"/>
  <c r="M12" i="2"/>
  <c r="L8" i="4"/>
  <c r="N8" i="4"/>
  <c r="M8" i="4"/>
  <c r="H16" i="4"/>
  <c r="C19" i="4"/>
  <c r="O8" i="4"/>
  <c r="H29" i="4"/>
  <c r="B30" i="4" s="1"/>
  <c r="B32" i="4" s="1"/>
  <c r="P8" i="4"/>
  <c r="B15" i="4"/>
  <c r="D40" i="4" s="1"/>
  <c r="J66" i="3"/>
  <c r="K66" i="3" s="1"/>
  <c r="J96" i="3"/>
  <c r="K96" i="3" s="1"/>
  <c r="J94" i="3"/>
  <c r="K94" i="3" s="1"/>
  <c r="J101" i="3"/>
  <c r="K101" i="3" s="1"/>
  <c r="J87" i="3"/>
  <c r="K87" i="3" s="1"/>
  <c r="J95" i="3"/>
  <c r="K95" i="3" s="1"/>
  <c r="J86" i="3"/>
  <c r="K86" i="3" s="1"/>
  <c r="J79" i="3"/>
  <c r="K79" i="3" s="1"/>
  <c r="J88" i="3"/>
  <c r="K88" i="3" s="1"/>
  <c r="J63" i="3"/>
  <c r="K63" i="3" s="1"/>
  <c r="J77" i="3"/>
  <c r="K77" i="3" s="1"/>
  <c r="J84" i="3"/>
  <c r="K84" i="3" s="1"/>
  <c r="J89" i="3"/>
  <c r="K89" i="3" s="1"/>
  <c r="J85" i="3"/>
  <c r="K85" i="3" s="1"/>
  <c r="J97" i="3"/>
  <c r="K97" i="3" s="1"/>
  <c r="J82" i="3"/>
  <c r="K82" i="3" s="1"/>
  <c r="J70" i="3"/>
  <c r="K70" i="3" s="1"/>
  <c r="J91" i="3"/>
  <c r="K91" i="3" s="1"/>
  <c r="J76" i="3"/>
  <c r="K76" i="3" s="1"/>
  <c r="J72" i="3"/>
  <c r="K72" i="3" s="1"/>
  <c r="J64" i="3"/>
  <c r="K64" i="3" s="1"/>
  <c r="J92" i="3"/>
  <c r="K92" i="3" s="1"/>
  <c r="J100" i="3"/>
  <c r="K100" i="3" s="1"/>
  <c r="J74" i="3"/>
  <c r="K74" i="3" s="1"/>
  <c r="J90" i="3"/>
  <c r="K90" i="3" s="1"/>
  <c r="J83" i="3"/>
  <c r="K83" i="3" s="1"/>
  <c r="J98" i="3"/>
  <c r="K98" i="3" s="1"/>
  <c r="J75" i="3"/>
  <c r="K75" i="3" s="1"/>
  <c r="J71" i="3"/>
  <c r="K71" i="3" s="1"/>
  <c r="J78" i="3"/>
  <c r="K78" i="3" s="1"/>
  <c r="J93" i="3"/>
  <c r="K93" i="3" s="1"/>
  <c r="J73" i="3"/>
  <c r="K73" i="3" s="1"/>
  <c r="J99" i="3"/>
  <c r="K99" i="3" s="1"/>
  <c r="J102" i="3"/>
  <c r="K102" i="3" s="1"/>
  <c r="J69" i="3"/>
  <c r="K69" i="3" s="1"/>
  <c r="J81" i="3"/>
  <c r="K81" i="3" s="1"/>
  <c r="J68" i="3"/>
  <c r="K68" i="3" s="1"/>
  <c r="J67" i="3"/>
  <c r="K67" i="3" s="1"/>
  <c r="J80" i="3"/>
  <c r="K80" i="3" s="1"/>
  <c r="J65" i="3"/>
  <c r="K65" i="3" s="1"/>
  <c r="K12" i="2" l="1"/>
  <c r="K8" i="4"/>
  <c r="D56" i="3"/>
  <c r="E18" i="3" s="1"/>
  <c r="E20" i="3" s="1"/>
  <c r="E24" i="3" s="1"/>
  <c r="D54" i="2"/>
  <c r="D18" i="2" s="1"/>
  <c r="D19" i="2" s="1"/>
  <c r="D24" i="2" s="1"/>
  <c r="D56" i="2"/>
  <c r="F18" i="2" s="1"/>
  <c r="F19" i="2" s="1"/>
  <c r="F24" i="2" s="1"/>
  <c r="D57" i="2"/>
  <c r="G18" i="2" s="1"/>
  <c r="G19" i="2" s="1"/>
  <c r="G24" i="2" s="1"/>
  <c r="D55" i="2"/>
  <c r="E18" i="2" s="1"/>
  <c r="E19" i="2" s="1"/>
  <c r="E24" i="2" s="1"/>
  <c r="D53" i="2"/>
  <c r="C18" i="2" s="1"/>
  <c r="D58" i="3"/>
  <c r="G18" i="3" s="1"/>
  <c r="G20" i="3" s="1"/>
  <c r="B27" i="2"/>
  <c r="B19" i="2"/>
  <c r="B24" i="2" s="1"/>
  <c r="D55" i="3"/>
  <c r="D18" i="3" s="1"/>
  <c r="D20" i="3" s="1"/>
  <c r="D30" i="3" s="1"/>
  <c r="D54" i="3"/>
  <c r="C18" i="3" s="1"/>
  <c r="C20" i="3" s="1"/>
  <c r="D57" i="3"/>
  <c r="F18" i="3" s="1"/>
  <c r="F20" i="3" s="1"/>
  <c r="F26" i="3" s="1"/>
  <c r="F31" i="3" s="1"/>
  <c r="I54" i="3"/>
  <c r="C19" i="3" s="1"/>
  <c r="C21" i="3" s="1"/>
  <c r="D53" i="3"/>
  <c r="B18" i="3" s="1"/>
  <c r="I55" i="3"/>
  <c r="D19" i="3" s="1"/>
  <c r="D21" i="3" s="1"/>
  <c r="B29" i="2"/>
  <c r="B31" i="2" s="1"/>
  <c r="J80" i="2" s="1"/>
  <c r="K80" i="2" s="1"/>
  <c r="D29" i="2"/>
  <c r="C29" i="2"/>
  <c r="P12" i="4"/>
  <c r="P5" i="4"/>
  <c r="C22" i="4"/>
  <c r="O5" i="4"/>
  <c r="N5" i="4"/>
  <c r="L5" i="4"/>
  <c r="M12" i="4"/>
  <c r="M5" i="4"/>
  <c r="O12" i="4"/>
  <c r="N12" i="4"/>
  <c r="H19" i="4"/>
  <c r="L12" i="4"/>
  <c r="G29" i="2"/>
  <c r="F29" i="2"/>
  <c r="B22" i="2"/>
  <c r="B25" i="2" s="1"/>
  <c r="B44" i="3"/>
  <c r="D57" i="1" s="1"/>
  <c r="P7" i="2" l="1"/>
  <c r="C45" i="4"/>
  <c r="B46" i="4" s="1"/>
  <c r="C48" i="4"/>
  <c r="F21" i="2"/>
  <c r="F22" i="2"/>
  <c r="F25" i="2" s="1"/>
  <c r="O7" i="2"/>
  <c r="C46" i="4"/>
  <c r="B47" i="4" s="1"/>
  <c r="C44" i="4"/>
  <c r="B45" i="4" s="1"/>
  <c r="K12" i="4"/>
  <c r="K5" i="4"/>
  <c r="K55" i="1" s="1"/>
  <c r="L55" i="1" s="1"/>
  <c r="E49" i="1" s="1"/>
  <c r="C70" i="1" s="1"/>
  <c r="B70" i="1" s="1"/>
  <c r="G22" i="2"/>
  <c r="G25" i="2" s="1"/>
  <c r="E30" i="3"/>
  <c r="E26" i="3"/>
  <c r="E31" i="3" s="1"/>
  <c r="G21" i="2"/>
  <c r="E21" i="2"/>
  <c r="E22" i="2"/>
  <c r="E25" i="2" s="1"/>
  <c r="D22" i="2"/>
  <c r="D25" i="2" s="1"/>
  <c r="D21" i="2"/>
  <c r="N6" i="2"/>
  <c r="G27" i="2"/>
  <c r="N9" i="2"/>
  <c r="D27" i="2"/>
  <c r="L9" i="2"/>
  <c r="O6" i="2"/>
  <c r="J84" i="2"/>
  <c r="K84" i="2" s="1"/>
  <c r="P6" i="2"/>
  <c r="M6" i="2"/>
  <c r="C27" i="2"/>
  <c r="N7" i="2"/>
  <c r="F27" i="2"/>
  <c r="O9" i="2"/>
  <c r="L7" i="2"/>
  <c r="E27" i="2"/>
  <c r="L6" i="2"/>
  <c r="M9" i="2"/>
  <c r="P9" i="2"/>
  <c r="M7" i="2"/>
  <c r="C19" i="2"/>
  <c r="C22" i="2" s="1"/>
  <c r="J75" i="2"/>
  <c r="K75" i="2" s="1"/>
  <c r="J72" i="2"/>
  <c r="K72" i="2" s="1"/>
  <c r="J88" i="2"/>
  <c r="K88" i="2" s="1"/>
  <c r="J101" i="2"/>
  <c r="K101" i="2" s="1"/>
  <c r="B21" i="2"/>
  <c r="J102" i="2"/>
  <c r="K102" i="2" s="1"/>
  <c r="J70" i="2"/>
  <c r="K70" i="2" s="1"/>
  <c r="J93" i="2"/>
  <c r="K93" i="2" s="1"/>
  <c r="J78" i="2"/>
  <c r="K78" i="2" s="1"/>
  <c r="J95" i="2"/>
  <c r="K95" i="2" s="1"/>
  <c r="J73" i="2"/>
  <c r="K73" i="2" s="1"/>
  <c r="J97" i="2"/>
  <c r="K97" i="2" s="1"/>
  <c r="J87" i="2"/>
  <c r="K87" i="2" s="1"/>
  <c r="J91" i="2"/>
  <c r="K91" i="2" s="1"/>
  <c r="J76" i="2"/>
  <c r="K76" i="2" s="1"/>
  <c r="J98" i="2"/>
  <c r="K98" i="2" s="1"/>
  <c r="J100" i="2"/>
  <c r="K100" i="2" s="1"/>
  <c r="J74" i="2"/>
  <c r="K74" i="2" s="1"/>
  <c r="J99" i="2"/>
  <c r="K99" i="2" s="1"/>
  <c r="J90" i="2"/>
  <c r="K90" i="2" s="1"/>
  <c r="J92" i="2"/>
  <c r="K92" i="2" s="1"/>
  <c r="J79" i="2"/>
  <c r="K79" i="2" s="1"/>
  <c r="J68" i="2"/>
  <c r="K68" i="2" s="1"/>
  <c r="J89" i="2"/>
  <c r="K89" i="2" s="1"/>
  <c r="J82" i="2"/>
  <c r="K82" i="2" s="1"/>
  <c r="J66" i="2"/>
  <c r="K66" i="2" s="1"/>
  <c r="J64" i="2"/>
  <c r="K64" i="2" s="1"/>
  <c r="J86" i="2"/>
  <c r="K86" i="2" s="1"/>
  <c r="J67" i="2"/>
  <c r="K67" i="2" s="1"/>
  <c r="J94" i="2"/>
  <c r="K94" i="2" s="1"/>
  <c r="F24" i="3"/>
  <c r="F30" i="3"/>
  <c r="G24" i="3"/>
  <c r="G30" i="3"/>
  <c r="G26" i="3"/>
  <c r="G31" i="3" s="1"/>
  <c r="D26" i="3"/>
  <c r="D31" i="3" s="1"/>
  <c r="J77" i="2"/>
  <c r="K77" i="2" s="1"/>
  <c r="J65" i="2"/>
  <c r="K65" i="2" s="1"/>
  <c r="J71" i="2"/>
  <c r="K71" i="2" s="1"/>
  <c r="J63" i="2"/>
  <c r="K63" i="2" s="1"/>
  <c r="J83" i="2"/>
  <c r="K83" i="2" s="1"/>
  <c r="D24" i="3"/>
  <c r="J96" i="2"/>
  <c r="K96" i="2" s="1"/>
  <c r="J81" i="2"/>
  <c r="K81" i="2" s="1"/>
  <c r="J85" i="2"/>
  <c r="K85" i="2" s="1"/>
  <c r="J69" i="2"/>
  <c r="K69" i="2" s="1"/>
  <c r="C24" i="3"/>
  <c r="C26" i="3"/>
  <c r="C31" i="3" s="1"/>
  <c r="C30" i="3"/>
  <c r="B33" i="3"/>
  <c r="M7" i="3"/>
  <c r="L7" i="3"/>
  <c r="L8" i="3"/>
  <c r="C33" i="3"/>
  <c r="L10" i="3"/>
  <c r="D33" i="3"/>
  <c r="N8" i="3"/>
  <c r="O8" i="3"/>
  <c r="O7" i="3"/>
  <c r="O10" i="3"/>
  <c r="F33" i="3"/>
  <c r="N7" i="3"/>
  <c r="B20" i="3"/>
  <c r="P8" i="3"/>
  <c r="G33" i="3"/>
  <c r="M10" i="3"/>
  <c r="N10" i="3"/>
  <c r="M8" i="3"/>
  <c r="P7" i="3"/>
  <c r="P10" i="3"/>
  <c r="E33" i="3"/>
  <c r="C47" i="4"/>
  <c r="B48" i="4" s="1"/>
  <c r="I19" i="4"/>
  <c r="C40" i="4"/>
  <c r="C26" i="4" l="1"/>
  <c r="E26" i="4"/>
  <c r="F26" i="4"/>
  <c r="G26" i="4"/>
  <c r="D26" i="4"/>
  <c r="B36" i="2"/>
  <c r="G17" i="2" s="1"/>
  <c r="B49" i="4"/>
  <c r="E48" i="4" s="1"/>
  <c r="P10" i="2"/>
  <c r="P13" i="2" s="1"/>
  <c r="L10" i="2"/>
  <c r="L13" i="2" s="1"/>
  <c r="K8" i="3"/>
  <c r="K9" i="2"/>
  <c r="K6" i="2"/>
  <c r="K7" i="2"/>
  <c r="K10" i="3"/>
  <c r="K7" i="3"/>
  <c r="O10" i="2"/>
  <c r="O13" i="2" s="1"/>
  <c r="N10" i="2"/>
  <c r="N13" i="2" s="1"/>
  <c r="C21" i="2"/>
  <c r="C24" i="2"/>
  <c r="M10" i="2"/>
  <c r="M13" i="2" s="1"/>
  <c r="D36" i="2"/>
  <c r="D28" i="2" s="1"/>
  <c r="M15" i="2" s="1"/>
  <c r="F36" i="2"/>
  <c r="F28" i="2" s="1"/>
  <c r="O15" i="2" s="1"/>
  <c r="E36" i="2"/>
  <c r="E28" i="2" s="1"/>
  <c r="N15" i="2" s="1"/>
  <c r="C36" i="2"/>
  <c r="C28" i="2" s="1"/>
  <c r="L15" i="2" s="1"/>
  <c r="G36" i="2"/>
  <c r="G28" i="2" s="1"/>
  <c r="P15" i="2" s="1"/>
  <c r="O11" i="3"/>
  <c r="O14" i="3" s="1"/>
  <c r="L11" i="3"/>
  <c r="L14" i="3" s="1"/>
  <c r="N11" i="3"/>
  <c r="M11" i="3"/>
  <c r="M14" i="3" s="1"/>
  <c r="B24" i="3"/>
  <c r="P11" i="3"/>
  <c r="P14" i="3" s="1"/>
  <c r="B30" i="3"/>
  <c r="B26" i="3"/>
  <c r="E47" i="4"/>
  <c r="E45" i="4"/>
  <c r="E42" i="4"/>
  <c r="E44" i="4"/>
  <c r="E43" i="4"/>
  <c r="C25" i="2"/>
  <c r="O11" i="2"/>
  <c r="N11" i="2"/>
  <c r="N14" i="2" s="1"/>
  <c r="P11" i="2"/>
  <c r="P14" i="2" s="1"/>
  <c r="E46" i="4"/>
  <c r="B26" i="4"/>
  <c r="B28" i="4" s="1"/>
  <c r="M11" i="2"/>
  <c r="M14" i="2" s="1"/>
  <c r="L11" i="2"/>
  <c r="L14" i="2" s="1"/>
  <c r="B28" i="2" l="1"/>
  <c r="B34" i="3" s="1"/>
  <c r="B45" i="3"/>
  <c r="B35" i="3" s="1"/>
  <c r="B34" i="4"/>
  <c r="K57" i="1"/>
  <c r="B17" i="2"/>
  <c r="C17" i="2"/>
  <c r="D17" i="2"/>
  <c r="F17" i="2"/>
  <c r="E57" i="1"/>
  <c r="F57" i="1" s="1"/>
  <c r="E47" i="1" s="1"/>
  <c r="C68" i="1" s="1"/>
  <c r="B68" i="1" s="1"/>
  <c r="E17" i="2"/>
  <c r="K15" i="2"/>
  <c r="E61" i="1" s="1"/>
  <c r="K10" i="2"/>
  <c r="E59" i="1" s="1"/>
  <c r="D48" i="4"/>
  <c r="G17" i="4" s="1"/>
  <c r="G18" i="4" s="1"/>
  <c r="G23" i="4" s="1"/>
  <c r="L16" i="2"/>
  <c r="N16" i="2"/>
  <c r="O17" i="2"/>
  <c r="P16" i="2"/>
  <c r="O16" i="2"/>
  <c r="K13" i="2"/>
  <c r="M16" i="2"/>
  <c r="M17" i="2"/>
  <c r="P17" i="2"/>
  <c r="N17" i="2"/>
  <c r="L17" i="2"/>
  <c r="D46" i="4"/>
  <c r="E17" i="4" s="1"/>
  <c r="E18" i="4" s="1"/>
  <c r="E23" i="4" s="1"/>
  <c r="K11" i="3"/>
  <c r="N14" i="3"/>
  <c r="K14" i="3" s="1"/>
  <c r="M12" i="3"/>
  <c r="M15" i="3" s="1"/>
  <c r="P12" i="3"/>
  <c r="P15" i="3" s="1"/>
  <c r="O12" i="3"/>
  <c r="B31" i="3"/>
  <c r="L12" i="3"/>
  <c r="L15" i="3" s="1"/>
  <c r="N12" i="3"/>
  <c r="N15" i="3" s="1"/>
  <c r="D43" i="4"/>
  <c r="B17" i="4" s="1"/>
  <c r="B18" i="4" s="1"/>
  <c r="B21" i="4" s="1"/>
  <c r="B24" i="4" s="1"/>
  <c r="O14" i="2"/>
  <c r="K14" i="2" s="1"/>
  <c r="K11" i="2"/>
  <c r="J92" i="4"/>
  <c r="K92" i="4" s="1"/>
  <c r="J55" i="4"/>
  <c r="K55" i="4" s="1"/>
  <c r="J70" i="4"/>
  <c r="K70" i="4" s="1"/>
  <c r="J91" i="4"/>
  <c r="K91" i="4" s="1"/>
  <c r="J76" i="4"/>
  <c r="K76" i="4" s="1"/>
  <c r="J93" i="4"/>
  <c r="K93" i="4" s="1"/>
  <c r="J90" i="4"/>
  <c r="K90" i="4" s="1"/>
  <c r="J94" i="4"/>
  <c r="K94" i="4" s="1"/>
  <c r="J64" i="4"/>
  <c r="K64" i="4" s="1"/>
  <c r="J78" i="4"/>
  <c r="K78" i="4" s="1"/>
  <c r="J57" i="4"/>
  <c r="K57" i="4" s="1"/>
  <c r="J86" i="4"/>
  <c r="K86" i="4" s="1"/>
  <c r="J85" i="4"/>
  <c r="K85" i="4" s="1"/>
  <c r="J65" i="4"/>
  <c r="K65" i="4" s="1"/>
  <c r="J67" i="4"/>
  <c r="K67" i="4" s="1"/>
  <c r="J62" i="4"/>
  <c r="K62" i="4" s="1"/>
  <c r="J58" i="4"/>
  <c r="K58" i="4" s="1"/>
  <c r="J59" i="4"/>
  <c r="K59" i="4" s="1"/>
  <c r="J68" i="4"/>
  <c r="K68" i="4" s="1"/>
  <c r="J63" i="4"/>
  <c r="K63" i="4" s="1"/>
  <c r="J75" i="4"/>
  <c r="K75" i="4" s="1"/>
  <c r="J73" i="4"/>
  <c r="K73" i="4" s="1"/>
  <c r="J74" i="4"/>
  <c r="K74" i="4" s="1"/>
  <c r="J72" i="4"/>
  <c r="K72" i="4" s="1"/>
  <c r="J69" i="4"/>
  <c r="K69" i="4" s="1"/>
  <c r="J88" i="4"/>
  <c r="K88" i="4" s="1"/>
  <c r="J60" i="4"/>
  <c r="K60" i="4" s="1"/>
  <c r="J77" i="4"/>
  <c r="K77" i="4" s="1"/>
  <c r="J66" i="4"/>
  <c r="K66" i="4" s="1"/>
  <c r="J84" i="4"/>
  <c r="K84" i="4" s="1"/>
  <c r="J82" i="4"/>
  <c r="K82" i="4" s="1"/>
  <c r="J61" i="4"/>
  <c r="K61" i="4" s="1"/>
  <c r="J80" i="4"/>
  <c r="K80" i="4" s="1"/>
  <c r="J87" i="4"/>
  <c r="K87" i="4" s="1"/>
  <c r="J89" i="4"/>
  <c r="K89" i="4" s="1"/>
  <c r="J81" i="4"/>
  <c r="K81" i="4" s="1"/>
  <c r="J83" i="4"/>
  <c r="K83" i="4" s="1"/>
  <c r="J56" i="4"/>
  <c r="K56" i="4" s="1"/>
  <c r="J79" i="4"/>
  <c r="K79" i="4" s="1"/>
  <c r="J71" i="4"/>
  <c r="K71" i="4" s="1"/>
  <c r="D44" i="4"/>
  <c r="C17" i="4" s="1"/>
  <c r="D47" i="4"/>
  <c r="F17" i="4" s="1"/>
  <c r="F18" i="4" s="1"/>
  <c r="D45" i="4"/>
  <c r="D17" i="4" s="1"/>
  <c r="D18" i="4" s="1"/>
  <c r="O24" i="3"/>
  <c r="B29" i="3"/>
  <c r="L24" i="3"/>
  <c r="N24" i="3"/>
  <c r="E29" i="3"/>
  <c r="D29" i="3"/>
  <c r="F29" i="3"/>
  <c r="P24" i="3"/>
  <c r="G29" i="3"/>
  <c r="M24" i="3"/>
  <c r="C29" i="3"/>
  <c r="H17" i="2" l="1"/>
  <c r="K61" i="1"/>
  <c r="K59" i="1"/>
  <c r="G17" i="3"/>
  <c r="G23" i="3" s="1"/>
  <c r="H58" i="3"/>
  <c r="G59" i="3" s="1"/>
  <c r="J58" i="3" s="1"/>
  <c r="G21" i="4"/>
  <c r="G24" i="4" s="1"/>
  <c r="G20" i="4"/>
  <c r="K16" i="2"/>
  <c r="E62" i="1" s="1"/>
  <c r="K17" i="2"/>
  <c r="E63" i="1" s="1"/>
  <c r="C17" i="3"/>
  <c r="C27" i="3" s="1"/>
  <c r="D17" i="3"/>
  <c r="E20" i="4"/>
  <c r="E21" i="4"/>
  <c r="E24" i="4" s="1"/>
  <c r="B23" i="4"/>
  <c r="B20" i="4"/>
  <c r="O15" i="3"/>
  <c r="K15" i="3" s="1"/>
  <c r="K12" i="3"/>
  <c r="B33" i="4"/>
  <c r="B25" i="4" s="1"/>
  <c r="D33" i="4"/>
  <c r="C33" i="4"/>
  <c r="C25" i="4" s="1"/>
  <c r="L15" i="4" s="1"/>
  <c r="L16" i="4" s="1"/>
  <c r="E33" i="4"/>
  <c r="F33" i="4"/>
  <c r="G33" i="4"/>
  <c r="F20" i="4"/>
  <c r="F21" i="4"/>
  <c r="F24" i="4" s="1"/>
  <c r="F23" i="4"/>
  <c r="D21" i="4"/>
  <c r="D24" i="4" s="1"/>
  <c r="D20" i="4"/>
  <c r="D23" i="4"/>
  <c r="O7" i="4"/>
  <c r="E60" i="1"/>
  <c r="K60" i="1"/>
  <c r="C18" i="4"/>
  <c r="P7" i="4"/>
  <c r="L9" i="4"/>
  <c r="P6" i="4"/>
  <c r="P9" i="4"/>
  <c r="N7" i="4"/>
  <c r="N6" i="4"/>
  <c r="N9" i="4"/>
  <c r="O6" i="4"/>
  <c r="M6" i="4"/>
  <c r="M7" i="4"/>
  <c r="M9" i="4"/>
  <c r="O9" i="4"/>
  <c r="L6" i="4"/>
  <c r="L7" i="4"/>
  <c r="K63" i="1"/>
  <c r="H57" i="3"/>
  <c r="G58" i="3" s="1"/>
  <c r="J57" i="3" s="1"/>
  <c r="F17" i="3"/>
  <c r="F23" i="3" s="1"/>
  <c r="K24" i="3"/>
  <c r="D61" i="1" s="1"/>
  <c r="H50" i="3"/>
  <c r="J52" i="3" s="1"/>
  <c r="I53" i="3" s="1"/>
  <c r="B19" i="3" s="1"/>
  <c r="E17" i="3"/>
  <c r="H56" i="3"/>
  <c r="D25" i="4" l="1"/>
  <c r="M15" i="4" s="1"/>
  <c r="M16" i="4" s="1"/>
  <c r="G25" i="4"/>
  <c r="P15" i="4" s="1"/>
  <c r="P16" i="4" s="1"/>
  <c r="F25" i="4"/>
  <c r="O15" i="4" s="1"/>
  <c r="O16" i="4" s="1"/>
  <c r="K16" i="4" s="1"/>
  <c r="E25" i="4"/>
  <c r="N15" i="4" s="1"/>
  <c r="N16" i="4" s="1"/>
  <c r="K62" i="1"/>
  <c r="I58" i="3"/>
  <c r="G19" i="3" s="1"/>
  <c r="G21" i="3" s="1"/>
  <c r="G25" i="3" s="1"/>
  <c r="C23" i="3"/>
  <c r="L17" i="3" s="1"/>
  <c r="M20" i="3"/>
  <c r="L20" i="3"/>
  <c r="C25" i="3"/>
  <c r="D23" i="3"/>
  <c r="D25" i="3"/>
  <c r="D27" i="3"/>
  <c r="K9" i="4"/>
  <c r="K7" i="4"/>
  <c r="K6" i="4"/>
  <c r="K56" i="1" s="1"/>
  <c r="L56" i="1" s="1"/>
  <c r="E50" i="1" s="1"/>
  <c r="C71" i="1" s="1"/>
  <c r="C20" i="4"/>
  <c r="N10" i="4"/>
  <c r="C21" i="4"/>
  <c r="P10" i="4"/>
  <c r="P13" i="4" s="1"/>
  <c r="L10" i="4"/>
  <c r="L13" i="4" s="1"/>
  <c r="C23" i="4"/>
  <c r="O10" i="4"/>
  <c r="M10" i="4"/>
  <c r="M13" i="4" s="1"/>
  <c r="J57" i="1"/>
  <c r="L57" i="1" s="1"/>
  <c r="E51" i="1" s="1"/>
  <c r="C72" i="1" s="1"/>
  <c r="B72" i="1" s="1"/>
  <c r="E23" i="3"/>
  <c r="O20" i="3"/>
  <c r="H17" i="3"/>
  <c r="P20" i="3"/>
  <c r="N20" i="3"/>
  <c r="B21" i="3"/>
  <c r="M19" i="3"/>
  <c r="M21" i="3"/>
  <c r="L19" i="3"/>
  <c r="L21" i="3"/>
  <c r="G57" i="3"/>
  <c r="J56" i="3" s="1"/>
  <c r="I57" i="3" s="1"/>
  <c r="F19" i="3" s="1"/>
  <c r="F21" i="3" s="1"/>
  <c r="K15" i="4" l="1"/>
  <c r="G27" i="3"/>
  <c r="L18" i="3"/>
  <c r="B71" i="1"/>
  <c r="M17" i="3"/>
  <c r="M18" i="3"/>
  <c r="L17" i="4"/>
  <c r="P17" i="4"/>
  <c r="N13" i="4"/>
  <c r="N17" i="4"/>
  <c r="O13" i="4"/>
  <c r="K10" i="4"/>
  <c r="J59" i="1" s="1"/>
  <c r="O17" i="4"/>
  <c r="J61" i="1"/>
  <c r="M17" i="4"/>
  <c r="C24" i="4"/>
  <c r="P11" i="4"/>
  <c r="N11" i="4"/>
  <c r="L11" i="4"/>
  <c r="O11" i="4"/>
  <c r="M11" i="4"/>
  <c r="K20" i="3"/>
  <c r="F27" i="3"/>
  <c r="F25" i="3"/>
  <c r="B25" i="3"/>
  <c r="M22" i="3"/>
  <c r="M25" i="3" s="1"/>
  <c r="L22" i="3"/>
  <c r="L25" i="3" s="1"/>
  <c r="B27" i="3"/>
  <c r="I56" i="3"/>
  <c r="E19" i="3" s="1"/>
  <c r="O17" i="3"/>
  <c r="N17" i="3"/>
  <c r="H23" i="3"/>
  <c r="P17" i="3"/>
  <c r="I23" i="3" l="1"/>
  <c r="B36" i="3"/>
  <c r="C36" i="3"/>
  <c r="D36" i="3"/>
  <c r="E36" i="3"/>
  <c r="F36" i="3"/>
  <c r="G36" i="3"/>
  <c r="K17" i="3"/>
  <c r="E55" i="1" s="1"/>
  <c r="F55" i="1" s="1"/>
  <c r="E45" i="1" s="1"/>
  <c r="C66" i="1" s="1"/>
  <c r="B66" i="1" s="1"/>
  <c r="N14" i="4"/>
  <c r="N18" i="4"/>
  <c r="L14" i="4"/>
  <c r="L18" i="4"/>
  <c r="P14" i="4"/>
  <c r="P18" i="4"/>
  <c r="M14" i="4"/>
  <c r="M18" i="4"/>
  <c r="K17" i="4"/>
  <c r="O14" i="4"/>
  <c r="K11" i="4"/>
  <c r="J60" i="1" s="1"/>
  <c r="O18" i="4"/>
  <c r="K13" i="4"/>
  <c r="E21" i="3"/>
  <c r="O19" i="3"/>
  <c r="O18" i="3"/>
  <c r="N18" i="3"/>
  <c r="N21" i="3"/>
  <c r="P18" i="3"/>
  <c r="O21" i="3"/>
  <c r="N19" i="3"/>
  <c r="P19" i="3"/>
  <c r="P21" i="3"/>
  <c r="L23" i="3"/>
  <c r="L26" i="3" s="1"/>
  <c r="M23" i="3"/>
  <c r="M26" i="3" s="1"/>
  <c r="J62" i="1" l="1"/>
  <c r="L62" i="1" s="1"/>
  <c r="I47" i="1" s="1"/>
  <c r="B74" i="1" s="1"/>
  <c r="K19" i="3"/>
  <c r="K18" i="3"/>
  <c r="E56" i="1" s="1"/>
  <c r="F56" i="1" s="1"/>
  <c r="E46" i="1" s="1"/>
  <c r="C67" i="1" s="1"/>
  <c r="B67" i="1" s="1"/>
  <c r="K18" i="4"/>
  <c r="K14" i="4"/>
  <c r="K21" i="3"/>
  <c r="E25" i="3"/>
  <c r="E27" i="3"/>
  <c r="N22" i="3"/>
  <c r="P22" i="3"/>
  <c r="P25" i="3" s="1"/>
  <c r="O22" i="3"/>
  <c r="O25" i="3" s="1"/>
  <c r="E74" i="1" l="1"/>
  <c r="B76" i="1" s="1"/>
  <c r="C74" i="1"/>
  <c r="B29" i="1" s="1"/>
  <c r="J63" i="1"/>
  <c r="L63" i="1" s="1"/>
  <c r="K22" i="3"/>
  <c r="D59" i="1" s="1"/>
  <c r="N25" i="3"/>
  <c r="K25" i="3" s="1"/>
  <c r="D62" i="1" s="1"/>
  <c r="F62" i="1" s="1"/>
  <c r="O23" i="3"/>
  <c r="O26" i="3" s="1"/>
  <c r="P23" i="3"/>
  <c r="P26" i="3" s="1"/>
  <c r="N23" i="3"/>
  <c r="B31" i="1" l="1"/>
  <c r="K23" i="3"/>
  <c r="D60" i="1" s="1"/>
  <c r="N26" i="3"/>
  <c r="K26" i="3" s="1"/>
  <c r="D63" i="1" s="1"/>
  <c r="F63" i="1" s="1"/>
  <c r="I45" i="1" s="1"/>
  <c r="B73" i="1" l="1"/>
  <c r="E73" i="1"/>
  <c r="B75" i="1" s="1"/>
  <c r="C73" i="1"/>
  <c r="B24" i="1" s="1"/>
  <c r="B2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tc={0C994C5E-877C-9242-BED3-13D4C529861D}</author>
    <author>tc={815B5D1B-8387-0044-B93B-CA72BAB376AC}</author>
    <author>tc={CD01D79B-E65E-504B-A0F6-EF2EDF04FFDA}</author>
    <author>tc={C7855A2D-6AAA-194D-A78F-4487020A4B23}</author>
    <author>tc={36FA5F58-5763-C949-A8A3-82296772F339}</author>
  </authors>
  <commentList>
    <comment ref="F4" authorId="0" shapeId="0" xr:uid="{0C994C5E-877C-9242-BED3-13D4C529861D}">
      <text>
        <t>[Threaded comment]
Your version of Excel allows you to read this threaded comment; however, any edits to it will get removed if the file is opened in a newer version of Excel. Learn more: https://go.microsoft.com/fwlink/?linkid=870924
Comment:
    130% of NRC</t>
      </text>
    </comment>
    <comment ref="F5" authorId="1" shapeId="0" xr:uid="{815B5D1B-8387-0044-B93B-CA72BAB376AC}">
      <text>
        <t>[Threaded comment]
Your version of Excel allows you to read this threaded comment; however, any edits to it will get removed if the file is opened in a newer version of Excel. Learn more: https://go.microsoft.com/fwlink/?linkid=870924
Comment:
    122% of NRC</t>
      </text>
    </comment>
    <comment ref="F6" authorId="2" shapeId="0" xr:uid="{CD01D79B-E65E-504B-A0F6-EF2EDF04FFDA}">
      <text>
        <t>[Threaded comment]
Your version of Excel allows you to read this threaded comment; however, any edits to it will get removed if the file is opened in a newer version of Excel. Learn more: https://go.microsoft.com/fwlink/?linkid=870924
Comment:
    122% of NRC</t>
      </text>
    </comment>
    <comment ref="F7" authorId="3" shapeId="0" xr:uid="{C7855A2D-6AAA-194D-A78F-4487020A4B23}">
      <text>
        <t>[Threaded comment]
Your version of Excel allows you to read this threaded comment; however, any edits to it will get removed if the file is opened in a newer version of Excel. Learn more: https://go.microsoft.com/fwlink/?linkid=870924
Comment:
    122% of NRC</t>
      </text>
    </comment>
    <comment ref="F8" authorId="4" shapeId="0" xr:uid="{36FA5F58-5763-C949-A8A3-82296772F339}">
      <text>
        <t>[Threaded comment]
Your version of Excel allows you to read this threaded comment; however, any edits to it will get removed if the file is opened in a newer version of Excel. Learn more: https://go.microsoft.com/fwlink/?linkid=870924
Comment:
    122% of NRC</t>
      </text>
    </comment>
  </commentList>
</comments>
</file>

<file path=xl/sharedStrings.xml><?xml version="1.0" encoding="utf-8"?>
<sst xmlns="http://schemas.openxmlformats.org/spreadsheetml/2006/main" count="774" uniqueCount="244">
  <si>
    <t>Gender</t>
  </si>
  <si>
    <t>Barrows and gilts</t>
  </si>
  <si>
    <t>Slot (Phase) 1</t>
  </si>
  <si>
    <t>STTD P:NE</t>
  </si>
  <si>
    <t>Facility cost, $/pig/day</t>
  </si>
  <si>
    <t>Barrows and Gilts</t>
  </si>
  <si>
    <t>Number of phases</t>
  </si>
  <si>
    <t>Slot (Phase) 2</t>
  </si>
  <si>
    <t>Current diets</t>
  </si>
  <si>
    <t>STTD P, %</t>
  </si>
  <si>
    <t>$/ton</t>
  </si>
  <si>
    <t>Avg Wt, kg</t>
  </si>
  <si>
    <t>Slot (phase 1)</t>
  </si>
  <si>
    <t>Slot (Phase) 3</t>
  </si>
  <si>
    <t>Slot (phase 3)</t>
  </si>
  <si>
    <t>Slot (phase 4)</t>
  </si>
  <si>
    <t>Slot (phase 5)</t>
  </si>
  <si>
    <t>Slot (Phase) 4</t>
  </si>
  <si>
    <t>Total gain</t>
  </si>
  <si>
    <t>Slot (Phase) 5</t>
  </si>
  <si>
    <t>Economics, $/pig</t>
  </si>
  <si>
    <t xml:space="preserve">  Total feed cost</t>
  </si>
  <si>
    <t xml:space="preserve">  Total feed and facility cost</t>
  </si>
  <si>
    <t xml:space="preserve">  Total revenue</t>
  </si>
  <si>
    <t>Difference</t>
  </si>
  <si>
    <t xml:space="preserve">  IOFC</t>
  </si>
  <si>
    <t xml:space="preserve">  IOFFC</t>
  </si>
  <si>
    <t>Economic model for optimum phosphorus level - Model Calculations by phase</t>
  </si>
  <si>
    <t>Item</t>
  </si>
  <si>
    <t>Dietary phase</t>
  </si>
  <si>
    <t>Summary of Calculations with Current Phosphorus Levels</t>
  </si>
  <si>
    <t>Output</t>
  </si>
  <si>
    <t>Current NE, kcal/kg</t>
  </si>
  <si>
    <t>Current Diet Cost, $/Ton</t>
  </si>
  <si>
    <t>Total feed cost per phase, $/pig</t>
  </si>
  <si>
    <t>Gain, lb</t>
  </si>
  <si>
    <t>Feed cost per/lb of gain, $/pig</t>
  </si>
  <si>
    <t>Feed and facility cost, $/pig</t>
  </si>
  <si>
    <t>Revenue per pig, $/pig</t>
  </si>
  <si>
    <t>IOFC by phase, $/pig</t>
  </si>
  <si>
    <t>IOFFC by phase, $/pig</t>
  </si>
  <si>
    <t>Phase duration, d</t>
  </si>
  <si>
    <t>Predicted ADG, lb</t>
  </si>
  <si>
    <t>Predicted F/G</t>
  </si>
  <si>
    <t>Predicted ADFI, lb</t>
  </si>
  <si>
    <t>Phases duration, d</t>
  </si>
  <si>
    <t>Total feed, lb/pig</t>
  </si>
  <si>
    <t>Total feed cost, $/pig</t>
  </si>
  <si>
    <t>Total feed cost &amp; facility cost, $/pig</t>
  </si>
  <si>
    <t>Total IOFC Live, $/pig</t>
  </si>
  <si>
    <t>Total IOFFC Live, $/pig</t>
  </si>
  <si>
    <t>Current carcass yield, %</t>
  </si>
  <si>
    <t>Economic evaluation criteria</t>
  </si>
  <si>
    <t>Live</t>
  </si>
  <si>
    <t>Carcass</t>
  </si>
  <si>
    <t>Revenue Live, $/pig</t>
  </si>
  <si>
    <t>Revenue Carcass, $/pig</t>
  </si>
  <si>
    <t>Total IOFC Carcass, $/pig</t>
  </si>
  <si>
    <t>Total IOFFC Carcass $/pig</t>
  </si>
  <si>
    <t>Total IOFFC Carcass, $/pig</t>
  </si>
  <si>
    <t>Live pig price, $/lb</t>
  </si>
  <si>
    <t>Carcass price, $/lb</t>
  </si>
  <si>
    <t>Revenue per pig by phase, $/pig</t>
  </si>
  <si>
    <t>Calculated Overall ADG with STTD P trial (Vier et al.,2017)</t>
  </si>
  <si>
    <t>Calculated Overall G:F with STTD P trial (Vier et al.,2017)</t>
  </si>
  <si>
    <t>Predicted Overall ADFI, g/d</t>
  </si>
  <si>
    <t>Precited Overall F/G</t>
  </si>
  <si>
    <t>Predicted Overall F/G</t>
  </si>
  <si>
    <t>Feed budget by phase, lb/pig</t>
  </si>
  <si>
    <t>Mixed Sex Feed Budget</t>
  </si>
  <si>
    <t>Closeout Feed Efficiency</t>
  </si>
  <si>
    <t>Initial Wt</t>
  </si>
  <si>
    <t>Final Wt</t>
  </si>
  <si>
    <t>F/G</t>
  </si>
  <si>
    <t>lb/pig</t>
  </si>
  <si>
    <t>BW, lb</t>
  </si>
  <si>
    <t>Starting weight, lb</t>
  </si>
  <si>
    <t>Final weight, lb</t>
  </si>
  <si>
    <t>Total gain, lb</t>
  </si>
  <si>
    <t>Average Starting Wt &amp; End Wt, lb</t>
  </si>
  <si>
    <t>Avg Wt, lb</t>
  </si>
  <si>
    <t>Start_wt_kg</t>
  </si>
  <si>
    <t>End_wt_kg</t>
  </si>
  <si>
    <t>Avg wt_kg</t>
  </si>
  <si>
    <t>STTD P req</t>
  </si>
  <si>
    <t>STTDP_NE_kg</t>
  </si>
  <si>
    <r>
      <t>0.000047291257153852600x</t>
    </r>
    <r>
      <rPr>
        <vertAlign val="superscript"/>
        <sz val="12"/>
        <color theme="1"/>
        <rFont val="Calibri"/>
        <family val="2"/>
        <scheme val="minor"/>
      </rPr>
      <t>2</t>
    </r>
    <r>
      <rPr>
        <sz val="12"/>
        <color theme="1"/>
        <rFont val="Calibri"/>
        <family val="2"/>
        <scheme val="minor"/>
      </rPr>
      <t xml:space="preserve"> - 0.014390782029002800000x + 2.027514542222900000000</t>
    </r>
  </si>
  <si>
    <t>Energy, kcal NE/lb</t>
  </si>
  <si>
    <t>Overall average F/G (weighted average based on phase duration)</t>
  </si>
  <si>
    <t>HCW</t>
  </si>
  <si>
    <t>STTD P</t>
  </si>
  <si>
    <t>Weighted average of STTD P</t>
  </si>
  <si>
    <t>Hot Carcass Wheight</t>
  </si>
  <si>
    <r>
      <t xml:space="preserve">Market weight    </t>
    </r>
    <r>
      <rPr>
        <sz val="10"/>
        <color theme="1"/>
        <rFont val="Calibri"/>
        <family val="2"/>
        <scheme val="minor"/>
      </rPr>
      <t>(est. by Carcass yield)</t>
    </r>
  </si>
  <si>
    <t>Back Fat for PIC 337</t>
  </si>
  <si>
    <r>
      <t xml:space="preserve">Carcass Yield (%) =                                  </t>
    </r>
    <r>
      <rPr>
        <b/>
        <sz val="11"/>
        <color rgb="FFFF0000"/>
        <rFont val="Calibri"/>
        <family val="2"/>
        <scheme val="minor"/>
      </rPr>
      <t xml:space="preserve"> 66.411 + ( Carcass weight, kg x 0.0878)</t>
    </r>
  </si>
  <si>
    <t>kg</t>
  </si>
  <si>
    <t>Barrows</t>
  </si>
  <si>
    <t>Gilts</t>
  </si>
  <si>
    <t>Average</t>
  </si>
  <si>
    <t>Total P</t>
  </si>
  <si>
    <t>Trial</t>
  </si>
  <si>
    <t>TotalP_NE_kg</t>
  </si>
  <si>
    <t>Initial Wt, kg</t>
  </si>
  <si>
    <t>Final Wt, kg</t>
  </si>
  <si>
    <t xml:space="preserve">STTD P, % </t>
  </si>
  <si>
    <t>Slot (phase 2)</t>
  </si>
  <si>
    <t>User yield</t>
  </si>
  <si>
    <t>User/PIC ratio</t>
  </si>
  <si>
    <t>User/PIC Adjusted Yield</t>
  </si>
  <si>
    <t>Output - Fixed Time (space short)</t>
  </si>
  <si>
    <t>Output - Fixed Weight (space long)</t>
  </si>
  <si>
    <t>Current</t>
  </si>
  <si>
    <t>Slot (Phase) 6</t>
  </si>
  <si>
    <t>Optimum STTD Ca:STTD P</t>
  </si>
  <si>
    <t>NRC, % STTD P</t>
  </si>
  <si>
    <t>NRC, 2012. Table 16-1A</t>
  </si>
  <si>
    <t>Body Weight Range, Kg</t>
  </si>
  <si>
    <t>Item:</t>
  </si>
  <si>
    <t>Avg. wt, calculated</t>
  </si>
  <si>
    <t>P, STTD</t>
  </si>
  <si>
    <t>Reformatted table for Regression Analysis</t>
  </si>
  <si>
    <t>Growth Stage</t>
  </si>
  <si>
    <t>Avg. wt, kg</t>
  </si>
  <si>
    <t>Wt*Wt</t>
  </si>
  <si>
    <t>Early growth</t>
  </si>
  <si>
    <t>Grow-finish</t>
  </si>
  <si>
    <t>SUMMARY OUTPUT</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</si>
  <si>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</si>
  <si>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</si>
  <si>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</si>
  <si>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</si>
  <si>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</si>
  <si>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</si>
  <si>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</si>
  <si>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</si>
  <si>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</si>
  <si>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</si>
  <si>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</si>
  <si>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</si>
  <si>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</si>
  <si>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</si>
  <si>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</si>
  <si>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</si>
  <si>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</si>
  <si>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</si>
  <si>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</si>
  <si>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</si>
  <si>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</si>
  <si>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</si>
  <si>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</si>
  <si>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X Variable 1</t>
  </si>
  <si>
    <t>RESIDUAL OUTPUT</t>
  </si>
  <si>
    <t>Observation</t>
  </si>
  <si>
    <t>Predicted Y</t>
  </si>
  <si>
    <t>Residuals</t>
  </si>
  <si>
    <t>Standard Residuals</t>
  </si>
  <si>
    <t>Linear</t>
  </si>
  <si>
    <t>Exponential</t>
  </si>
  <si>
    <t>Actual</t>
  </si>
  <si>
    <t>Current % of NRC</t>
  </si>
  <si>
    <t>ADG response</t>
  </si>
  <si>
    <t>% of maximum ADG</t>
  </si>
  <si>
    <t>% of maximum feed efficiency</t>
  </si>
  <si>
    <t>NE kcal/kg</t>
  </si>
  <si>
    <r>
      <t xml:space="preserve">Input </t>
    </r>
    <r>
      <rPr>
        <b/>
        <i/>
        <sz val="16"/>
        <color theme="1"/>
        <rFont val="Calibri"/>
        <family val="2"/>
        <scheme val="minor"/>
      </rPr>
      <t>(please fill yellow cells)</t>
    </r>
  </si>
  <si>
    <t>Yield equation</t>
  </si>
  <si>
    <t>73.859 - 1.19192 x STTD P % of NRC</t>
  </si>
  <si>
    <t>Current STTD P as a % of NRC</t>
  </si>
  <si>
    <t>Predicted yield based on STTD P level</t>
  </si>
  <si>
    <t>User/PIC Asjusted and STTD P adjusted</t>
  </si>
  <si>
    <t>Yield at 100% of NRC</t>
  </si>
  <si>
    <t>Yield based on final body weight and PIC equation</t>
  </si>
  <si>
    <t>Yield correction factor based on STTD P level</t>
  </si>
  <si>
    <t>Corrected current yield</t>
  </si>
  <si>
    <t>Calculated Overall HCW, lb based on final BW and corrected yield</t>
  </si>
  <si>
    <t>Yield based on final BW and PIC equation</t>
  </si>
  <si>
    <t>Calculated Overall HCW,lb based on final BW and corrected yield</t>
  </si>
  <si>
    <t>Biological % of NRC</t>
  </si>
  <si>
    <t>Predicted yield based on biological STTD P level</t>
  </si>
  <si>
    <t>Current STTD P as % of NRC</t>
  </si>
  <si>
    <t>Biological STTD P as % of NRC</t>
  </si>
  <si>
    <t>Avg_ME_kcal_kg</t>
  </si>
  <si>
    <t>STTD P_ME_kg</t>
  </si>
  <si>
    <t>Avg_NE_kcal_lb</t>
  </si>
  <si>
    <t>Avg_NE_kcal_kg</t>
  </si>
  <si>
    <t>Avg_ME_kcal_lb</t>
  </si>
  <si>
    <r>
      <t>0.000030626936175869600x</t>
    </r>
    <r>
      <rPr>
        <vertAlign val="superscript"/>
        <sz val="12"/>
        <color theme="1"/>
        <rFont val="Calibri"/>
        <family val="2"/>
        <scheme val="minor"/>
      </rPr>
      <t>2</t>
    </r>
    <r>
      <rPr>
        <sz val="12"/>
        <color theme="1"/>
        <rFont val="Calibri"/>
        <family val="2"/>
        <scheme val="minor"/>
      </rPr>
      <t xml:space="preserve"> - 0.009664361472054440000x + 1.476750678631610000000</t>
    </r>
  </si>
  <si>
    <t>STTD P:ME</t>
  </si>
  <si>
    <t>Energy, kcal ME/lb</t>
  </si>
  <si>
    <t>Optimum total Ca:STTD P</t>
  </si>
  <si>
    <t>Maximal growth</t>
  </si>
  <si>
    <t>Phase duration, d for Live basis</t>
  </si>
  <si>
    <t>Phase duration, d for Carcass basis</t>
  </si>
  <si>
    <t>Total feed cost per phase, $/pig for Live Basis</t>
  </si>
  <si>
    <t>Gain, lb for Live Basis</t>
  </si>
  <si>
    <t>Feed cost per/lb of gain, $/pig for Live Basis</t>
  </si>
  <si>
    <t>Feed and facility cost, $/pig for Live Basis</t>
  </si>
  <si>
    <t>Revenue per pig by phase, $/pig for Live Basis</t>
  </si>
  <si>
    <t>Feed budget by phase, lb/pig for Live basis</t>
  </si>
  <si>
    <t>Total feed cost per phase, $/pig for Live basis</t>
  </si>
  <si>
    <t>Gain, lb for Live basis</t>
  </si>
  <si>
    <t>Feed cost per/lb of gain, $/pig for live basis</t>
  </si>
  <si>
    <t>Feed and facility cost, $/pig for Live basis</t>
  </si>
  <si>
    <t>Revenue per pig by phase, $/pig for Live basis</t>
  </si>
  <si>
    <t>Feed budget by phase, lb/pig for Carcass basis</t>
  </si>
  <si>
    <t>Total feed cost per phase, $/pig for Carcass Basis</t>
  </si>
  <si>
    <t>Gain, lb for Carcass Basis</t>
  </si>
  <si>
    <t>Feed cost per/lb of gain, $/pig for Carcass Basis</t>
  </si>
  <si>
    <t>Feed and facility cost, $/pig for Carcass Basis</t>
  </si>
  <si>
    <t>Revenue per pig by phase, $/pig for Carcass Basis</t>
  </si>
  <si>
    <t xml:space="preserve">IOFC by phase, $/pig </t>
  </si>
  <si>
    <t>Calculated overall HCW for CURRENT performance, lb</t>
  </si>
  <si>
    <t>Predicted final BW, lb for Fixed Weight to achieve the same Current Carcass weight</t>
  </si>
  <si>
    <t>Live Basis</t>
  </si>
  <si>
    <t>Carcass Basis</t>
  </si>
  <si>
    <t>Mixed Sex Feed Budget - Live Basis</t>
  </si>
  <si>
    <t>Mixed Sex Feed Budget - Carcass Basis</t>
  </si>
  <si>
    <t>Phase duration, d for Live Basis</t>
  </si>
  <si>
    <t>Feed budget by phase, lb/pig for Live Basis</t>
  </si>
  <si>
    <t>Phase duration, d for Carcass Basis</t>
  </si>
  <si>
    <t>Feed budget by phase, lb/pig for Carcass Basis</t>
  </si>
  <si>
    <t>Fixed Weight (space long)</t>
  </si>
  <si>
    <t>Fixed Time (space short)</t>
  </si>
  <si>
    <t>Carcass yield</t>
  </si>
  <si>
    <t>Growth rate</t>
  </si>
  <si>
    <t>Feed efficiency</t>
  </si>
  <si>
    <t>IOFC</t>
  </si>
  <si>
    <t>Performance Output</t>
  </si>
  <si>
    <t>Economics Output</t>
  </si>
  <si>
    <t xml:space="preserve">            Economic model for optimum phosphorus level v2.0</t>
  </si>
  <si>
    <r>
      <t xml:space="preserve">              Economic model for optimum phosphorus levels v2.0</t>
    </r>
    <r>
      <rPr>
        <b/>
        <vertAlign val="superscript"/>
        <sz val="28"/>
        <color rgb="FF7030A0"/>
        <rFont val="Calibri"/>
        <family val="2"/>
      </rPr>
      <t>α</t>
    </r>
  </si>
  <si>
    <t>α</t>
  </si>
  <si>
    <t>The STTD P to to energy ratios meet the biological requirements for PIC 327, 337, and 359 sired pigs. PIC suggests to utilize 99% of the tool estimates for PIC 380, 408, and 410 sired pigs; and 97% for PIC 800 sired pigs to achieve the biological requirements of these sirelines.</t>
  </si>
  <si>
    <t>Performance difference by changing from current diets to the levels for maximal growth, %</t>
  </si>
  <si>
    <t>Net profit difference by changing from current diets to the levels for maximal growth, $/pig</t>
  </si>
  <si>
    <t>Performance and economics output - Fixed Weight (space long)</t>
  </si>
  <si>
    <t>Performance and economics output - Fixed Time (space short)</t>
  </si>
  <si>
    <t>To be used by trained swine nutritionists. Maximal growth is based on ADG response (which also captures 100% of maximum feed efficiency). Background performance equations for STTD P are based on a commercial study with 1,134 PIC pigs (Vier et al., 2019). When STTD P is set for maximal growth, the dietary total Ca:STTD P ratio ranges from 1.96:1:1 to 2.48:1, and the STTD Ca:STTD P ratio ranges from 1.39:1 to 1.79:1 to obtain 99 to 100% maximal growth. These ratios are based on two commercial studies with 2,349 PIC pigs (Vier et al., 2019) and assumed release values of 0.132% STTD P, 0.144% Total Ca, and 0.096% STTD Ca if phytase is used. When STTD P is set at NRC (2012) or lower, narrower Ca:P ratios should be used.  Other environmental factors can influence daily nutrient requirements and should be adjusted for each production system to avoid behavioral or welfare issues. The above are only estimates and not guarantees of performance or costs. For questions on this calculator please contact the KSU Applied Swine Nutrition Team or the PIC Nutrition Team.</t>
  </si>
  <si>
    <t>%</t>
  </si>
  <si>
    <t>$</t>
  </si>
  <si>
    <t>Phase</t>
  </si>
  <si>
    <t>Biological requirement</t>
  </si>
  <si>
    <t>Yield considered for head on (carcass yield &gt; 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</si>
</sst>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quot;$&quot;#,##0.00"/>
    <numFmt numFmtId="165" formatCode="0.0"/>
    <numFmt numFmtId="166" formatCode="0.0000000"/>
    <numFmt numFmtId="167" formatCode="0.0%"/>
    <numFmt numFmtId="168" formatCode="0.000"/>
    <numFmt numFmtId="169" formatCode="0.00000"/>
    <numFmt numFmtId="170" formatCode="_(* #,##0_);_(* \(#,##0\);_(* &quot;-&quot;??_);_(@_)"/>
    <numFmt numFmtId="171" formatCode="0.000000000"/>
    <numFmt numFmtId="172" formatCode="0.0000"/>
    <numFmt numFmtId="173" formatCode="0.000000"/>
  </numFmts>
  <fonts count="41">
    <font>
      <sz val="12"/>
      <color theme="1"/>
      <name val="Calibri"/>
      <family val="2"/>
      <scheme val="minor"/>
    </font>
    <font>
      <sz val="12"/>
      <color theme="1"/>
      <name val="Calibri"/>
      <family val="2"/>
      <scheme val="minor"/>
    </font>
    <font>
      <b/>
      <sz val="12"/>
      <color theme="1"/>
      <name val="Calibri"/>
      <family val="2"/>
      <scheme val="minor"/>
    </font>
    <font>
      <b/>
      <sz val="16"/>
      <color theme="1"/>
      <name val="Arial Narrow"/>
      <family val="2"/>
    </font>
    <font>
      <b/>
      <sz val="11"/>
      <color theme="1"/>
      <name val="Calibri"/>
      <family val="2"/>
      <scheme val="minor"/>
    </font>
    <font>
      <sz val="14"/>
      <color theme="1"/>
      <name val="Calibri"/>
      <family val="2"/>
      <scheme val="minor"/>
    </font>
    <font>
      <i/>
      <sz val="11"/>
      <color theme="1"/>
      <name val="Calibri"/>
      <family val="2"/>
      <scheme val="minor"/>
    </font>
    <font>
      <sz val="11"/>
      <name val="Calibri"/>
      <family val="2"/>
      <scheme val="minor"/>
    </font>
    <font>
      <sz val="11"/>
      <color theme="1"/>
      <name val="Calibri"/>
      <family val="2"/>
      <scheme val="minor"/>
    </font>
    <font>
      <b/>
      <sz val="14"/>
      <color theme="1"/>
      <name val="Calibri"/>
      <family val="2"/>
      <scheme val="minor"/>
    </font>
    <font>
      <b/>
      <sz val="16"/>
      <color theme="1"/>
      <name val="Calibri"/>
      <family val="2"/>
      <scheme val="minor"/>
    </font>
    <font>
      <sz val="12"/>
      <color theme="2" tint="-0.89999084444715716"/>
      <name val="Calibri"/>
      <family val="2"/>
      <scheme val="minor"/>
    </font>
    <font>
      <vertAlign val="superscript"/>
      <sz val="12"/>
      <color theme="1"/>
      <name val="Calibri"/>
      <family val="2"/>
      <scheme val="minor"/>
    </font>
    <font>
      <sz val="10"/>
      <color theme="1"/>
      <name val="Calibri"/>
      <family val="2"/>
      <scheme val="minor"/>
    </font>
    <font>
      <b/>
      <sz val="11"/>
      <color rgb="FFFF0000"/>
      <name val="Calibri"/>
      <family val="2"/>
      <scheme val="minor"/>
    </font>
    <font>
      <sz val="12"/>
      <color rgb="FF7030A0"/>
      <name val="Calibri"/>
      <family val="2"/>
      <scheme val="minor"/>
    </font>
    <font>
      <i/>
      <sz val="12"/>
      <color theme="1"/>
      <name val="Calibri"/>
      <family val="2"/>
      <scheme val="minor"/>
    </font>
    <font>
      <b/>
      <sz val="28"/>
      <color rgb="FF7030A0"/>
      <name val="Arial Narrow"/>
      <family val="2"/>
    </font>
    <font>
      <b/>
      <sz val="16"/>
      <name val="Calibri"/>
      <family val="2"/>
      <scheme val="minor"/>
    </font>
    <font>
      <sz val="16"/>
      <color theme="1"/>
      <name val="Calibri"/>
      <family val="2"/>
      <scheme val="minor"/>
    </font>
    <font>
      <b/>
      <sz val="15"/>
      <color theme="1"/>
      <name val="Calibri"/>
      <family val="2"/>
      <scheme val="minor"/>
    </font>
    <font>
      <b/>
      <sz val="15"/>
      <name val="Calibri"/>
      <family val="2"/>
      <scheme val="minor"/>
    </font>
    <font>
      <sz val="15"/>
      <color theme="1"/>
      <name val="Calibri"/>
      <family val="2"/>
      <scheme val="minor"/>
    </font>
    <font>
      <sz val="15"/>
      <name val="Calibri"/>
      <family val="2"/>
      <scheme val="minor"/>
    </font>
    <font>
      <sz val="15"/>
      <color rgb="FF000000"/>
      <name val="Thorndale AMT"/>
      <family val="1"/>
    </font>
    <font>
      <sz val="16"/>
      <color theme="0"/>
      <name val="Calibri"/>
      <family val="2"/>
      <scheme val="minor"/>
    </font>
    <font>
      <sz val="16"/>
      <color theme="2" tint="-0.89999084444715716"/>
      <name val="Calibri"/>
      <family val="2"/>
      <scheme val="minor"/>
    </font>
    <font>
      <b/>
      <i/>
      <sz val="16"/>
      <color theme="1"/>
      <name val="Calibri"/>
      <family val="2"/>
      <scheme val="minor"/>
    </font>
    <font>
      <sz val="10"/>
      <name val="Arial"/>
      <family val="2"/>
    </font>
    <font>
      <sz val="12"/>
      <color theme="0"/>
      <name val="Calibri"/>
      <family val="2"/>
      <scheme val="minor"/>
    </font>
    <font>
      <b/>
      <sz val="16"/>
      <color theme="0"/>
      <name val="Calibri"/>
      <family val="2"/>
      <scheme val="minor"/>
    </font>
    <font>
      <sz val="12"/>
      <color rgb="FF000000"/>
      <name val="Calibri"/>
      <family val="2"/>
      <scheme val="minor"/>
    </font>
    <font>
      <b/>
      <sz val="24"/>
      <color rgb="FF7030A0"/>
      <name val="Arial Narrow"/>
      <family val="2"/>
    </font>
    <font>
      <b/>
      <sz val="16"/>
      <color rgb="FF7030A0"/>
      <name val="Calibri"/>
      <family val="2"/>
      <scheme val="minor"/>
    </font>
    <font>
      <b/>
      <sz val="18"/>
      <color rgb="FF7030A0"/>
      <name val="Calibri"/>
      <family val="2"/>
      <scheme val="minor"/>
    </font>
    <font>
      <b/>
      <vertAlign val="superscript"/>
      <sz val="28"/>
      <color rgb="FF7030A0"/>
      <name val="Calibri"/>
      <family val="2"/>
    </font>
    <font>
      <b/>
      <sz val="12"/>
      <color rgb="FF7030A0"/>
      <name val="Calibri"/>
      <family val="2"/>
      <scheme val="minor"/>
    </font>
    <font>
      <b/>
      <sz val="16"/>
      <color rgb="FF7030A0"/>
      <name val="Calibri"/>
      <family val="2"/>
    </font>
    <font>
      <sz val="12"/>
      <name val="Calibri"/>
      <family val="2"/>
      <scheme val="minor"/>
    </font>
    <font>
      <sz val="14"/>
      <color rgb="FF7030A0"/>
      <name val="Calibri"/>
      <family val="2"/>
      <scheme val="minor"/>
    </font>
    <font>
      <sz val="16"/>
      <color rgb="FF7030A0"/>
      <name val="Calibri"/>
      <family val="2"/>
      <scheme val="minor"/>
    </font>
  </fonts>
  <fills count="1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D3CAF3"/>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4.9989318521683403E-2"/>
        <bgColor indexed="64"/>
      </patternFill>
    </fill>
  </fills>
  <borders count="2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28" fillId="0" borderId="0"/>
    <xf numFmtId="9" fontId="28" fillId="0" borderId="0" applyFont="0" applyFill="0" applyBorder="0" applyAlignment="0" applyProtection="0"/>
  </cellStyleXfs>
  <cellXfs count="332">
    <xf numFmtId="0" fontId="0" fillId="0" borderId="0" xfId="0"/>
    <xf numFmtId="0" fontId="0" fillId="0" borderId="1" xfId="0" applyBorder="1"/>
    <xf numFmtId="0" fontId="2" fillId="0" borderId="0" xfId="0" applyFont="1"/>
    <xf numFmtId="1" fontId="0" fillId="0" borderId="0" xfId="0" applyNumberFormat="1" applyAlignment="1">
      <alignment horizontal="center"/>
    </xf>
    <xf numFmtId="3" fontId="0" fillId="0" borderId="0" xfId="0" applyNumberFormat="1" applyAlignment="1">
      <alignment horizontal="center"/>
    </xf>
    <xf numFmtId="0" fontId="0" fillId="0" borderId="0" xfId="0" applyAlignment="1">
      <alignment horizontal="center"/>
    </xf>
    <xf numFmtId="165" fontId="0" fillId="0" borderId="0" xfId="0" applyNumberFormat="1" applyAlignment="1">
      <alignment horizontal="center"/>
    </xf>
    <xf numFmtId="2" fontId="0" fillId="0" borderId="0" xfId="0" applyNumberFormat="1" applyAlignment="1">
      <alignment horizontal="center"/>
    </xf>
    <xf numFmtId="0" fontId="2" fillId="0" borderId="0" xfId="0" applyFont="1" applyAlignment="1">
      <alignment horizontal="center"/>
    </xf>
    <xf numFmtId="1" fontId="2" fillId="0" borderId="0" xfId="0" applyNumberFormat="1" applyFont="1" applyAlignment="1">
      <alignment horizontal="center"/>
    </xf>
    <xf numFmtId="2" fontId="0" fillId="0" borderId="0" xfId="0" applyNumberFormat="1"/>
    <xf numFmtId="165" fontId="0" fillId="0" borderId="0" xfId="0" applyNumberFormat="1"/>
    <xf numFmtId="2" fontId="0" fillId="0" borderId="3" xfId="0" applyNumberFormat="1" applyBorder="1"/>
    <xf numFmtId="0" fontId="0" fillId="0" borderId="3" xfId="0" applyBorder="1"/>
    <xf numFmtId="2" fontId="0" fillId="0" borderId="0" xfId="0" applyNumberFormat="1" applyBorder="1"/>
    <xf numFmtId="165" fontId="0" fillId="0" borderId="0" xfId="0" applyNumberFormat="1" applyBorder="1"/>
    <xf numFmtId="2" fontId="0" fillId="0" borderId="1" xfId="0" applyNumberFormat="1" applyBorder="1"/>
    <xf numFmtId="0" fontId="0" fillId="0" borderId="0" xfId="0" applyBorder="1"/>
    <xf numFmtId="0" fontId="2" fillId="0" borderId="0" xfId="0" applyFont="1" applyBorder="1"/>
    <xf numFmtId="0" fontId="2" fillId="0" borderId="1" xfId="0" applyFont="1" applyBorder="1"/>
    <xf numFmtId="2" fontId="0" fillId="0" borderId="1" xfId="0" applyNumberFormat="1" applyBorder="1" applyAlignment="1">
      <alignment horizontal="center"/>
    </xf>
    <xf numFmtId="165" fontId="2" fillId="5" borderId="0" xfId="0" applyNumberFormat="1" applyFont="1" applyFill="1" applyAlignment="1">
      <alignment horizontal="center"/>
    </xf>
    <xf numFmtId="165" fontId="0" fillId="5" borderId="0" xfId="0" applyNumberFormat="1" applyFill="1" applyAlignment="1">
      <alignment horizontal="center"/>
    </xf>
    <xf numFmtId="1" fontId="0" fillId="0" borderId="0" xfId="0" applyNumberFormat="1"/>
    <xf numFmtId="169" fontId="0" fillId="0" borderId="0" xfId="0" applyNumberFormat="1"/>
    <xf numFmtId="165" fontId="0" fillId="6" borderId="0" xfId="0" applyNumberFormat="1" applyFill="1" applyAlignment="1">
      <alignment horizontal="center"/>
    </xf>
    <xf numFmtId="0" fontId="0" fillId="6" borderId="0" xfId="0" applyFill="1"/>
    <xf numFmtId="169" fontId="0" fillId="0" borderId="0" xfId="0" applyNumberFormat="1" applyBorder="1"/>
    <xf numFmtId="0" fontId="5" fillId="0" borderId="0" xfId="0" applyFont="1"/>
    <xf numFmtId="0" fontId="0" fillId="0" borderId="0" xfId="0" applyFill="1"/>
    <xf numFmtId="0" fontId="0" fillId="0" borderId="7" xfId="0" applyBorder="1"/>
    <xf numFmtId="1" fontId="0" fillId="0" borderId="8" xfId="0" applyNumberFormat="1" applyBorder="1" applyAlignment="1">
      <alignment horizontal="center"/>
    </xf>
    <xf numFmtId="0" fontId="0" fillId="0" borderId="0" xfId="0" applyBorder="1" applyAlignment="1">
      <alignment horizontal="center"/>
    </xf>
    <xf numFmtId="0" fontId="0" fillId="0" borderId="9" xfId="0" applyBorder="1"/>
    <xf numFmtId="0" fontId="0" fillId="0" borderId="8" xfId="0" applyBorder="1"/>
    <xf numFmtId="0" fontId="0" fillId="0" borderId="8" xfId="0" applyBorder="1" applyAlignment="1">
      <alignment horizontal="center"/>
    </xf>
    <xf numFmtId="2" fontId="0" fillId="0" borderId="9" xfId="0" applyNumberFormat="1" applyBorder="1" applyAlignment="1">
      <alignment horizontal="center"/>
    </xf>
    <xf numFmtId="1" fontId="0" fillId="0" borderId="0" xfId="0" applyNumberFormat="1" applyBorder="1" applyAlignment="1">
      <alignment horizontal="center"/>
    </xf>
    <xf numFmtId="1" fontId="0" fillId="0" borderId="10" xfId="0" applyNumberFormat="1" applyBorder="1" applyAlignment="1">
      <alignment horizontal="center"/>
    </xf>
    <xf numFmtId="0" fontId="0" fillId="0" borderId="5" xfId="0" applyBorder="1" applyAlignment="1">
      <alignment horizontal="center"/>
    </xf>
    <xf numFmtId="1" fontId="0" fillId="0" borderId="5" xfId="0" applyNumberFormat="1" applyBorder="1" applyAlignment="1">
      <alignment horizontal="center"/>
    </xf>
    <xf numFmtId="0" fontId="0" fillId="0" borderId="9" xfId="0" applyBorder="1" applyAlignment="1">
      <alignment horizontal="center"/>
    </xf>
    <xf numFmtId="0" fontId="0" fillId="6" borderId="0" xfId="0" applyFill="1" applyBorder="1" applyAlignment="1">
      <alignment horizontal="center"/>
    </xf>
    <xf numFmtId="165" fontId="0" fillId="6" borderId="0" xfId="0" applyNumberFormat="1" applyFill="1" applyBorder="1" applyAlignment="1">
      <alignment horizontal="center"/>
    </xf>
    <xf numFmtId="2" fontId="2" fillId="0" borderId="0" xfId="0" applyNumberFormat="1" applyFont="1" applyAlignment="1">
      <alignment horizontal="center"/>
    </xf>
    <xf numFmtId="2" fontId="0" fillId="0" borderId="5" xfId="0" applyNumberFormat="1" applyBorder="1" applyAlignment="1">
      <alignment horizontal="center"/>
    </xf>
    <xf numFmtId="2" fontId="0" fillId="0" borderId="0" xfId="0" applyNumberFormat="1" applyFill="1"/>
    <xf numFmtId="0" fontId="0" fillId="0" borderId="0" xfId="0" applyFill="1" applyBorder="1"/>
    <xf numFmtId="0" fontId="0" fillId="0" borderId="0" xfId="0" applyAlignment="1">
      <alignment horizontal="center" wrapText="1"/>
    </xf>
    <xf numFmtId="0" fontId="4" fillId="0" borderId="0" xfId="0" applyFont="1" applyAlignment="1">
      <alignment horizontal="center" wrapText="1"/>
    </xf>
    <xf numFmtId="165" fontId="0" fillId="0" borderId="0" xfId="0" applyNumberFormat="1" applyAlignment="1">
      <alignment horizontal="center" wrapText="1"/>
    </xf>
    <xf numFmtId="165" fontId="4" fillId="0" borderId="0" xfId="0" applyNumberFormat="1" applyFont="1" applyAlignment="1">
      <alignment horizontal="center" wrapText="1"/>
    </xf>
    <xf numFmtId="167" fontId="4" fillId="0" borderId="0" xfId="1" applyNumberFormat="1" applyFont="1" applyAlignment="1">
      <alignment horizontal="center" wrapText="1"/>
    </xf>
    <xf numFmtId="0" fontId="0" fillId="0" borderId="0" xfId="0" applyAlignment="1">
      <alignment horizontal="left"/>
    </xf>
    <xf numFmtId="168" fontId="2" fillId="0" borderId="0" xfId="0" applyNumberFormat="1" applyFont="1" applyAlignment="1">
      <alignment horizontal="center"/>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0" fillId="7" borderId="0" xfId="0" applyFill="1"/>
    <xf numFmtId="0" fontId="0" fillId="7" borderId="0" xfId="0" applyFill="1" applyBorder="1"/>
    <xf numFmtId="170" fontId="0" fillId="7" borderId="0" xfId="3" applyNumberFormat="1" applyFont="1" applyFill="1" applyBorder="1" applyAlignment="1">
      <alignment horizontal="left" vertical="center"/>
    </xf>
    <xf numFmtId="0" fontId="3" fillId="7" borderId="0" xfId="0" applyFont="1" applyFill="1" applyAlignment="1">
      <alignment vertical="center"/>
    </xf>
    <xf numFmtId="1" fontId="0" fillId="0" borderId="1" xfId="0" applyNumberFormat="1" applyBorder="1" applyAlignment="1">
      <alignment horizontal="center"/>
    </xf>
    <xf numFmtId="0" fontId="0" fillId="6" borderId="1" xfId="0" applyFill="1" applyBorder="1" applyAlignment="1">
      <alignment horizontal="center"/>
    </xf>
    <xf numFmtId="0" fontId="2" fillId="0" borderId="1" xfId="0" applyFont="1" applyFill="1" applyBorder="1"/>
    <xf numFmtId="165" fontId="0" fillId="6" borderId="1" xfId="0" applyNumberFormat="1" applyFill="1" applyBorder="1" applyAlignment="1">
      <alignment horizontal="center"/>
    </xf>
    <xf numFmtId="2" fontId="0" fillId="0" borderId="11" xfId="0" applyNumberFormat="1" applyBorder="1" applyAlignment="1">
      <alignment horizontal="center"/>
    </xf>
    <xf numFmtId="0" fontId="0" fillId="0" borderId="0" xfId="0"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2" fontId="0" fillId="0" borderId="0" xfId="0" applyNumberFormat="1" applyAlignment="1">
      <alignment horizontal="center"/>
    </xf>
    <xf numFmtId="0" fontId="0" fillId="0" borderId="0" xfId="0" applyFill="1" applyBorder="1" applyAlignment="1"/>
    <xf numFmtId="0" fontId="0" fillId="0" borderId="1" xfId="0" applyFill="1" applyBorder="1" applyAlignment="1"/>
    <xf numFmtId="0" fontId="16" fillId="0" borderId="17" xfId="0" applyFont="1" applyFill="1" applyBorder="1" applyAlignment="1">
      <alignment horizontal="center"/>
    </xf>
    <xf numFmtId="0" fontId="16" fillId="0" borderId="17" xfId="0" applyFont="1" applyFill="1" applyBorder="1" applyAlignment="1">
      <alignment horizontal="centerContinuous"/>
    </xf>
    <xf numFmtId="2" fontId="0" fillId="7" borderId="2" xfId="0" applyNumberFormat="1" applyFill="1" applyBorder="1" applyAlignment="1">
      <alignment horizontal="center" vertical="center"/>
    </xf>
    <xf numFmtId="2" fontId="0" fillId="0" borderId="0" xfId="0" applyNumberFormat="1" applyAlignment="1">
      <alignment horizontal="center"/>
    </xf>
    <xf numFmtId="0" fontId="2" fillId="0" borderId="0" xfId="0" applyFont="1" applyAlignment="1">
      <alignment horizontal="center"/>
    </xf>
    <xf numFmtId="0" fontId="0" fillId="0" borderId="0" xfId="0"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Border="1" applyAlignment="1">
      <alignment horizontal="center" vertical="center"/>
    </xf>
    <xf numFmtId="0" fontId="2" fillId="0" borderId="0" xfId="0" applyFont="1" applyAlignment="1">
      <alignment horizontal="center" vertical="center"/>
    </xf>
    <xf numFmtId="0" fontId="17" fillId="7" borderId="0" xfId="0" applyFont="1" applyFill="1" applyAlignment="1">
      <alignment vertical="center"/>
    </xf>
    <xf numFmtId="0" fontId="21" fillId="3" borderId="13" xfId="0" applyFont="1" applyFill="1" applyBorder="1" applyAlignment="1">
      <alignment horizontal="center" vertical="center" wrapText="1"/>
    </xf>
    <xf numFmtId="0" fontId="20" fillId="3" borderId="1" xfId="0" applyFont="1" applyFill="1" applyBorder="1" applyAlignment="1">
      <alignment horizontal="center" vertical="center"/>
    </xf>
    <xf numFmtId="0" fontId="21" fillId="3" borderId="1" xfId="0" applyFont="1" applyFill="1" applyBorder="1" applyAlignment="1">
      <alignment horizontal="center" vertical="center" wrapText="1"/>
    </xf>
    <xf numFmtId="0" fontId="20" fillId="3" borderId="13" xfId="0" applyFont="1" applyFill="1" applyBorder="1" applyAlignment="1">
      <alignment horizontal="center" vertical="center"/>
    </xf>
    <xf numFmtId="0" fontId="22" fillId="3" borderId="0" xfId="0" applyFont="1" applyFill="1" applyAlignment="1">
      <alignment horizontal="left" vertical="center"/>
    </xf>
    <xf numFmtId="2" fontId="22" fillId="3" borderId="0" xfId="0" applyNumberFormat="1" applyFont="1" applyFill="1" applyAlignment="1">
      <alignment vertical="center"/>
    </xf>
    <xf numFmtId="0" fontId="10" fillId="7" borderId="0" xfId="0" applyFont="1" applyFill="1" applyBorder="1" applyAlignment="1">
      <alignment horizontal="center" vertical="center"/>
    </xf>
    <xf numFmtId="2" fontId="10" fillId="7" borderId="0" xfId="0" applyNumberFormat="1" applyFont="1" applyFill="1" applyBorder="1" applyAlignment="1">
      <alignment horizontal="center" vertical="center"/>
    </xf>
    <xf numFmtId="2" fontId="10" fillId="7" borderId="1" xfId="0" applyNumberFormat="1" applyFont="1" applyFill="1" applyBorder="1" applyAlignment="1">
      <alignment horizontal="center" vertical="center"/>
    </xf>
    <xf numFmtId="2" fontId="0" fillId="0" borderId="0" xfId="0" applyNumberFormat="1" applyFont="1" applyAlignment="1">
      <alignment horizontal="center"/>
    </xf>
    <xf numFmtId="2" fontId="0" fillId="0" borderId="0" xfId="0" applyNumberFormat="1" applyAlignment="1">
      <alignment horizontal="center" vertical="center"/>
    </xf>
    <xf numFmtId="168" fontId="0" fillId="0" borderId="0" xfId="0" applyNumberFormat="1" applyFont="1" applyAlignment="1">
      <alignment horizontal="center"/>
    </xf>
    <xf numFmtId="171" fontId="0" fillId="0" borderId="0" xfId="0" applyNumberFormat="1"/>
    <xf numFmtId="165" fontId="0" fillId="0" borderId="5" xfId="0" applyNumberFormat="1" applyBorder="1" applyAlignment="1">
      <alignment horizontal="center"/>
    </xf>
    <xf numFmtId="0" fontId="3" fillId="7" borderId="0" xfId="0" applyFont="1" applyFill="1" applyBorder="1" applyAlignment="1">
      <alignment vertical="center"/>
    </xf>
    <xf numFmtId="0" fontId="2" fillId="7" borderId="0" xfId="0" applyFont="1" applyFill="1" applyBorder="1"/>
    <xf numFmtId="164" fontId="25" fillId="7" borderId="0" xfId="0" applyNumberFormat="1" applyFont="1" applyFill="1" applyBorder="1" applyAlignment="1" applyProtection="1">
      <alignment horizontal="center"/>
      <protection locked="0"/>
    </xf>
    <xf numFmtId="0" fontId="29" fillId="7" borderId="0" xfId="0" applyFont="1" applyFill="1" applyBorder="1"/>
    <xf numFmtId="164" fontId="25" fillId="7" borderId="0" xfId="2" applyNumberFormat="1" applyFont="1" applyFill="1" applyBorder="1" applyAlignment="1" applyProtection="1">
      <alignment horizontal="center"/>
      <protection locked="0"/>
    </xf>
    <xf numFmtId="0" fontId="25" fillId="7" borderId="0" xfId="0" applyFont="1" applyFill="1" applyBorder="1" applyAlignment="1">
      <alignment horizontal="center"/>
    </xf>
    <xf numFmtId="0" fontId="25" fillId="7" borderId="0" xfId="1" applyNumberFormat="1" applyFont="1" applyFill="1" applyBorder="1" applyAlignment="1">
      <alignment horizontal="center"/>
    </xf>
    <xf numFmtId="3" fontId="19" fillId="8" borderId="2" xfId="3" applyNumberFormat="1" applyFont="1" applyFill="1" applyBorder="1" applyAlignment="1" applyProtection="1">
      <alignment horizontal="center" vertical="center"/>
      <protection locked="0"/>
    </xf>
    <xf numFmtId="2" fontId="0" fillId="0" borderId="0" xfId="0" applyNumberFormat="1" applyAlignment="1">
      <alignment horizontal="center"/>
    </xf>
    <xf numFmtId="0" fontId="0" fillId="0" borderId="0" xfId="0"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2" fontId="0" fillId="6" borderId="0" xfId="0" applyNumberFormat="1" applyFill="1" applyAlignment="1">
      <alignment horizontal="center"/>
    </xf>
    <xf numFmtId="2" fontId="0" fillId="0" borderId="0" xfId="0" applyNumberFormat="1" applyFill="1" applyAlignment="1">
      <alignment horizontal="center"/>
    </xf>
    <xf numFmtId="172" fontId="0" fillId="0" borderId="0" xfId="0" applyNumberFormat="1" applyAlignment="1">
      <alignment horizontal="center"/>
    </xf>
    <xf numFmtId="172" fontId="0" fillId="0" borderId="0" xfId="0" applyNumberFormat="1" applyBorder="1" applyAlignment="1">
      <alignment horizontal="center"/>
    </xf>
    <xf numFmtId="172" fontId="0" fillId="0" borderId="1" xfId="0" applyNumberFormat="1" applyBorder="1" applyAlignment="1">
      <alignment horizontal="center"/>
    </xf>
    <xf numFmtId="0" fontId="0" fillId="10" borderId="0" xfId="0" applyFill="1"/>
    <xf numFmtId="165" fontId="0" fillId="10" borderId="0" xfId="0" applyNumberFormat="1" applyFill="1" applyAlignment="1">
      <alignment horizontal="center"/>
    </xf>
    <xf numFmtId="2" fontId="0" fillId="10" borderId="0" xfId="0" applyNumberFormat="1" applyFill="1" applyAlignment="1">
      <alignment horizontal="center"/>
    </xf>
    <xf numFmtId="0" fontId="0" fillId="9" borderId="0" xfId="0" applyFill="1" applyBorder="1"/>
    <xf numFmtId="165" fontId="0" fillId="9" borderId="0" xfId="0" applyNumberFormat="1" applyFill="1" applyBorder="1" applyAlignment="1">
      <alignment horizontal="center"/>
    </xf>
    <xf numFmtId="165" fontId="2" fillId="4" borderId="0" xfId="0" applyNumberFormat="1" applyFont="1" applyFill="1" applyBorder="1" applyAlignment="1">
      <alignment horizontal="center"/>
    </xf>
    <xf numFmtId="0" fontId="2" fillId="6" borderId="0" xfId="0" applyFont="1" applyFill="1" applyBorder="1"/>
    <xf numFmtId="0" fontId="2" fillId="10" borderId="0" xfId="0" applyFont="1" applyFill="1"/>
    <xf numFmtId="2" fontId="0" fillId="0" borderId="0" xfId="0" applyNumberFormat="1" applyAlignment="1">
      <alignment horizontal="center"/>
    </xf>
    <xf numFmtId="172" fontId="2" fillId="0" borderId="0" xfId="0" applyNumberFormat="1" applyFont="1" applyAlignment="1">
      <alignment horizontal="center"/>
    </xf>
    <xf numFmtId="169" fontId="2" fillId="0" borderId="0" xfId="0" applyNumberFormat="1" applyFont="1" applyAlignment="1">
      <alignment horizontal="center"/>
    </xf>
    <xf numFmtId="0" fontId="0" fillId="9" borderId="0" xfId="0" applyFill="1"/>
    <xf numFmtId="165" fontId="0" fillId="9" borderId="0" xfId="0" applyNumberFormat="1" applyFill="1" applyAlignment="1">
      <alignment horizontal="center"/>
    </xf>
    <xf numFmtId="2" fontId="0" fillId="9" borderId="0" xfId="0" applyNumberFormat="1" applyFill="1" applyAlignment="1">
      <alignment horizontal="center"/>
    </xf>
    <xf numFmtId="0" fontId="0" fillId="11" borderId="0" xfId="0" applyFill="1"/>
    <xf numFmtId="165" fontId="2" fillId="4" borderId="0" xfId="0" applyNumberFormat="1" applyFont="1" applyFill="1" applyAlignment="1">
      <alignment horizontal="center"/>
    </xf>
    <xf numFmtId="165" fontId="0" fillId="11" borderId="0" xfId="0" applyNumberFormat="1" applyFill="1" applyAlignment="1">
      <alignment horizontal="center"/>
    </xf>
    <xf numFmtId="2" fontId="0" fillId="11" borderId="0" xfId="0" applyNumberFormat="1" applyFill="1" applyAlignment="1">
      <alignment horizontal="center"/>
    </xf>
    <xf numFmtId="0" fontId="31" fillId="0" borderId="0" xfId="0" applyFont="1"/>
    <xf numFmtId="0" fontId="31" fillId="0" borderId="1" xfId="0" applyFont="1" applyBorder="1"/>
    <xf numFmtId="0" fontId="2" fillId="11" borderId="0" xfId="0" applyFont="1" applyFill="1" applyBorder="1"/>
    <xf numFmtId="2" fontId="22" fillId="3" borderId="0" xfId="0" applyNumberFormat="1" applyFont="1" applyFill="1" applyAlignment="1">
      <alignment horizontal="center" vertical="center"/>
    </xf>
    <xf numFmtId="10" fontId="10" fillId="7" borderId="9" xfId="1" applyNumberFormat="1" applyFont="1" applyFill="1" applyBorder="1" applyAlignment="1">
      <alignment horizontal="center" vertical="center"/>
    </xf>
    <xf numFmtId="10" fontId="10" fillId="7" borderId="11" xfId="1" applyNumberFormat="1" applyFont="1" applyFill="1" applyBorder="1" applyAlignment="1">
      <alignment horizontal="center" vertical="center"/>
    </xf>
    <xf numFmtId="164" fontId="10" fillId="7" borderId="11" xfId="0" applyNumberFormat="1" applyFont="1" applyFill="1" applyBorder="1" applyAlignment="1">
      <alignment horizontal="center" vertical="center"/>
    </xf>
    <xf numFmtId="164" fontId="10" fillId="7" borderId="9" xfId="0" applyNumberFormat="1" applyFont="1" applyFill="1" applyBorder="1" applyAlignment="1">
      <alignment horizontal="center" vertical="center"/>
    </xf>
    <xf numFmtId="2" fontId="0" fillId="7" borderId="0" xfId="0" applyNumberFormat="1" applyFill="1" applyBorder="1" applyAlignment="1">
      <alignment horizontal="center" vertical="center"/>
    </xf>
    <xf numFmtId="2" fontId="10" fillId="7" borderId="9" xfId="1" applyNumberFormat="1" applyFont="1" applyFill="1" applyBorder="1" applyAlignment="1">
      <alignment horizontal="center" vertical="center"/>
    </xf>
    <xf numFmtId="2" fontId="10" fillId="7" borderId="11" xfId="1" applyNumberFormat="1" applyFont="1" applyFill="1" applyBorder="1" applyAlignment="1">
      <alignment horizontal="center" vertical="center"/>
    </xf>
    <xf numFmtId="1" fontId="0" fillId="0" borderId="23" xfId="0" applyNumberFormat="1" applyBorder="1" applyAlignment="1" applyProtection="1">
      <alignment horizontal="center" vertical="center"/>
      <protection hidden="1"/>
    </xf>
    <xf numFmtId="1" fontId="0" fillId="0" borderId="19" xfId="0" applyNumberFormat="1" applyBorder="1" applyAlignment="1" applyProtection="1">
      <alignment horizontal="center" vertical="center"/>
      <protection hidden="1"/>
    </xf>
    <xf numFmtId="0" fontId="0" fillId="0" borderId="24" xfId="0" applyBorder="1" applyAlignment="1" applyProtection="1">
      <alignment horizontal="center" vertical="center"/>
      <protection hidden="1"/>
    </xf>
    <xf numFmtId="1" fontId="0" fillId="0" borderId="25" xfId="0" applyNumberFormat="1" applyBorder="1" applyAlignment="1" applyProtection="1">
      <alignment horizontal="center" vertical="center"/>
      <protection hidden="1"/>
    </xf>
    <xf numFmtId="1" fontId="0" fillId="0" borderId="2" xfId="0" applyNumberFormat="1" applyBorder="1" applyAlignment="1" applyProtection="1">
      <alignment horizontal="center" vertical="center"/>
      <protection hidden="1"/>
    </xf>
    <xf numFmtId="0" fontId="0" fillId="0" borderId="26" xfId="0" applyBorder="1" applyAlignment="1" applyProtection="1">
      <alignment horizontal="center" vertical="center"/>
      <protection hidden="1"/>
    </xf>
    <xf numFmtId="0" fontId="15" fillId="0" borderId="0" xfId="0" applyFont="1" applyFill="1" applyAlignment="1">
      <alignment vertical="center"/>
    </xf>
    <xf numFmtId="0" fontId="18" fillId="7" borderId="19" xfId="0" applyFont="1" applyFill="1" applyBorder="1" applyAlignment="1">
      <alignment horizontal="center" vertical="center" wrapText="1"/>
    </xf>
    <xf numFmtId="0" fontId="10" fillId="7" borderId="18" xfId="0" applyFont="1" applyFill="1" applyBorder="1" applyAlignment="1">
      <alignment horizontal="center" vertical="center"/>
    </xf>
    <xf numFmtId="0" fontId="18" fillId="7" borderId="18" xfId="0" applyFont="1" applyFill="1" applyBorder="1" applyAlignment="1">
      <alignment horizontal="center" vertical="center" wrapText="1"/>
    </xf>
    <xf numFmtId="3" fontId="25" fillId="7" borderId="0" xfId="0" applyNumberFormat="1" applyFont="1" applyFill="1" applyBorder="1" applyAlignment="1" applyProtection="1">
      <alignment horizontal="center" vertical="center"/>
      <protection hidden="1"/>
    </xf>
    <xf numFmtId="0" fontId="10" fillId="7" borderId="19" xfId="0" applyFont="1" applyFill="1" applyBorder="1" applyAlignment="1">
      <alignment horizontal="center" vertical="center"/>
    </xf>
    <xf numFmtId="1" fontId="19" fillId="0" borderId="2" xfId="0" applyNumberFormat="1" applyFont="1" applyFill="1" applyBorder="1" applyAlignment="1" applyProtection="1">
      <alignment horizontal="center" vertical="center"/>
    </xf>
    <xf numFmtId="1" fontId="19" fillId="8" borderId="2" xfId="0" applyNumberFormat="1" applyFont="1" applyFill="1" applyBorder="1" applyAlignment="1" applyProtection="1">
      <alignment horizontal="center" vertical="center"/>
      <protection locked="0"/>
    </xf>
    <xf numFmtId="2" fontId="19" fillId="8" borderId="2" xfId="0" applyNumberFormat="1" applyFont="1" applyFill="1" applyBorder="1" applyAlignment="1" applyProtection="1">
      <alignment horizontal="center" vertical="center"/>
      <protection locked="0"/>
    </xf>
    <xf numFmtId="164" fontId="19" fillId="8" borderId="2" xfId="0" applyNumberFormat="1" applyFont="1" applyFill="1" applyBorder="1" applyAlignment="1" applyProtection="1">
      <alignment horizontal="center" vertical="center"/>
      <protection locked="0"/>
    </xf>
    <xf numFmtId="2" fontId="10" fillId="4" borderId="2" xfId="0" applyNumberFormat="1" applyFont="1" applyFill="1" applyBorder="1" applyAlignment="1">
      <alignment horizontal="center" vertical="center"/>
    </xf>
    <xf numFmtId="164" fontId="19" fillId="8" borderId="18" xfId="0" applyNumberFormat="1" applyFont="1" applyFill="1" applyBorder="1" applyAlignment="1" applyProtection="1">
      <alignment horizontal="center" vertical="center"/>
      <protection locked="0"/>
    </xf>
    <xf numFmtId="0" fontId="0" fillId="0" borderId="0" xfId="0" applyAlignment="1" applyProtection="1">
      <alignment vertical="center"/>
      <protection hidden="1"/>
    </xf>
    <xf numFmtId="0" fontId="0" fillId="7" borderId="0" xfId="0" applyFill="1" applyAlignment="1">
      <alignment vertical="center"/>
    </xf>
    <xf numFmtId="0" fontId="0" fillId="0" borderId="0" xfId="0" applyAlignment="1">
      <alignment vertical="center"/>
    </xf>
    <xf numFmtId="0" fontId="10" fillId="0" borderId="1" xfId="0" applyFont="1" applyBorder="1" applyAlignment="1">
      <alignment vertical="center"/>
    </xf>
    <xf numFmtId="0" fontId="9" fillId="0" borderId="1" xfId="0" applyFont="1" applyBorder="1" applyAlignment="1">
      <alignment vertical="center"/>
    </xf>
    <xf numFmtId="0" fontId="9" fillId="7" borderId="1" xfId="0" applyFont="1" applyFill="1" applyBorder="1" applyAlignment="1">
      <alignment vertical="center"/>
    </xf>
    <xf numFmtId="0" fontId="5" fillId="7" borderId="1" xfId="0" applyFont="1" applyFill="1" applyBorder="1" applyAlignment="1">
      <alignment vertical="center"/>
    </xf>
    <xf numFmtId="0" fontId="0" fillId="7" borderId="1" xfId="0" applyFill="1" applyBorder="1" applyAlignment="1">
      <alignment vertical="center"/>
    </xf>
    <xf numFmtId="0" fontId="0" fillId="7" borderId="0" xfId="0" applyFill="1" applyBorder="1" applyAlignment="1">
      <alignment vertical="center"/>
    </xf>
    <xf numFmtId="1" fontId="0" fillId="7" borderId="0" xfId="0" applyNumberFormat="1" applyFill="1" applyAlignment="1">
      <alignment vertical="center"/>
    </xf>
    <xf numFmtId="0" fontId="5" fillId="7" borderId="0" xfId="0" applyFont="1" applyFill="1" applyAlignment="1">
      <alignment vertical="center"/>
    </xf>
    <xf numFmtId="0" fontId="19" fillId="8" borderId="20" xfId="0" applyFont="1" applyFill="1" applyBorder="1" applyAlignment="1" applyProtection="1">
      <alignment horizontal="center" vertical="center"/>
      <protection locked="0"/>
    </xf>
    <xf numFmtId="0" fontId="6" fillId="7" borderId="0" xfId="0" applyFont="1" applyFill="1" applyAlignment="1">
      <alignment vertical="center"/>
    </xf>
    <xf numFmtId="0" fontId="0" fillId="7" borderId="2" xfId="0" applyFill="1" applyBorder="1" applyAlignment="1">
      <alignment vertical="center"/>
    </xf>
    <xf numFmtId="164" fontId="19" fillId="8" borderId="2" xfId="2" applyNumberFormat="1" applyFont="1" applyFill="1" applyBorder="1" applyAlignment="1" applyProtection="1">
      <alignment horizontal="center" vertical="center"/>
      <protection locked="0"/>
    </xf>
    <xf numFmtId="165" fontId="26" fillId="8" borderId="2" xfId="1" applyNumberFormat="1" applyFont="1" applyFill="1" applyBorder="1" applyAlignment="1" applyProtection="1">
      <alignment horizontal="center" vertical="center"/>
      <protection locked="0"/>
    </xf>
    <xf numFmtId="0" fontId="19" fillId="8" borderId="2" xfId="0" applyFont="1" applyFill="1" applyBorder="1" applyAlignment="1" applyProtection="1">
      <alignment horizontal="center" vertical="center"/>
      <protection locked="0"/>
    </xf>
    <xf numFmtId="0" fontId="29" fillId="7" borderId="0" xfId="0" applyFont="1" applyFill="1" applyBorder="1" applyAlignment="1">
      <alignment vertical="center"/>
    </xf>
    <xf numFmtId="0" fontId="30" fillId="7" borderId="0" xfId="0" applyFont="1" applyFill="1" applyBorder="1" applyAlignment="1">
      <alignment vertical="center"/>
    </xf>
    <xf numFmtId="164" fontId="25" fillId="7" borderId="1" xfId="0" applyNumberFormat="1" applyFont="1" applyFill="1" applyBorder="1" applyAlignment="1" applyProtection="1">
      <alignment horizontal="center" vertical="center"/>
      <protection locked="0"/>
    </xf>
    <xf numFmtId="0" fontId="10" fillId="7" borderId="1" xfId="0" applyFont="1" applyFill="1" applyBorder="1" applyAlignment="1">
      <alignment vertical="center"/>
    </xf>
    <xf numFmtId="0" fontId="25" fillId="7" borderId="0" xfId="0" applyFont="1" applyFill="1" applyBorder="1" applyAlignment="1">
      <alignment vertical="center"/>
    </xf>
    <xf numFmtId="0" fontId="8" fillId="7" borderId="0" xfId="0" applyFont="1" applyFill="1" applyAlignment="1">
      <alignment horizontal="center" vertical="center"/>
    </xf>
    <xf numFmtId="0" fontId="7" fillId="7" borderId="2" xfId="0" applyFont="1" applyFill="1" applyBorder="1" applyAlignment="1">
      <alignment vertical="center"/>
    </xf>
    <xf numFmtId="0" fontId="8" fillId="7" borderId="2" xfId="0" applyFont="1" applyFill="1" applyBorder="1" applyAlignment="1">
      <alignment horizontal="center" vertical="center"/>
    </xf>
    <xf numFmtId="2" fontId="8" fillId="7" borderId="2" xfId="0" applyNumberFormat="1" applyFont="1" applyFill="1" applyBorder="1" applyAlignment="1">
      <alignment horizontal="center" vertical="center"/>
    </xf>
    <xf numFmtId="2" fontId="8" fillId="7" borderId="0" xfId="0" applyNumberFormat="1" applyFont="1" applyFill="1" applyBorder="1" applyAlignment="1">
      <alignment horizontal="center" vertical="center"/>
    </xf>
    <xf numFmtId="1" fontId="7" fillId="7" borderId="2" xfId="0" applyNumberFormat="1" applyFont="1" applyFill="1" applyBorder="1" applyAlignment="1">
      <alignment vertical="center"/>
    </xf>
    <xf numFmtId="165" fontId="0" fillId="7" borderId="2" xfId="0" applyNumberFormat="1" applyFill="1" applyBorder="1" applyAlignment="1">
      <alignment horizontal="center" vertical="center"/>
    </xf>
    <xf numFmtId="0" fontId="0" fillId="7" borderId="4" xfId="0" applyFill="1" applyBorder="1" applyAlignment="1">
      <alignment vertical="center"/>
    </xf>
    <xf numFmtId="0" fontId="0" fillId="0" borderId="0" xfId="0" applyFill="1" applyAlignment="1">
      <alignment vertical="center"/>
    </xf>
    <xf numFmtId="0" fontId="40" fillId="0" borderId="0" xfId="0" applyFont="1" applyFill="1" applyAlignment="1">
      <alignment vertical="center"/>
    </xf>
    <xf numFmtId="0" fontId="40" fillId="7" borderId="0" xfId="0" applyFont="1" applyFill="1" applyAlignment="1">
      <alignment vertical="center"/>
    </xf>
    <xf numFmtId="0" fontId="19" fillId="7" borderId="0" xfId="0" applyFont="1" applyFill="1" applyAlignment="1">
      <alignment vertical="center"/>
    </xf>
    <xf numFmtId="0" fontId="19" fillId="0" borderId="0" xfId="0" applyFont="1" applyAlignment="1">
      <alignment vertical="center"/>
    </xf>
    <xf numFmtId="0" fontId="15" fillId="7" borderId="0" xfId="0" applyFont="1" applyFill="1" applyAlignment="1">
      <alignment vertical="center"/>
    </xf>
    <xf numFmtId="2" fontId="0" fillId="7" borderId="0" xfId="0" applyNumberFormat="1" applyFill="1" applyAlignment="1">
      <alignment horizontal="center" vertical="center"/>
    </xf>
    <xf numFmtId="165" fontId="0" fillId="7" borderId="0" xfId="0" applyNumberFormat="1" applyFill="1" applyBorder="1" applyAlignment="1">
      <alignment horizontal="center" vertical="center"/>
    </xf>
    <xf numFmtId="165" fontId="7" fillId="7" borderId="2" xfId="0" applyNumberFormat="1" applyFont="1" applyFill="1" applyBorder="1" applyAlignment="1">
      <alignment vertical="center"/>
    </xf>
    <xf numFmtId="0" fontId="19" fillId="7" borderId="8" xfId="0" applyFont="1" applyFill="1" applyBorder="1" applyAlignment="1">
      <alignment vertical="center"/>
    </xf>
    <xf numFmtId="0" fontId="19" fillId="7" borderId="0" xfId="0" applyFont="1" applyFill="1" applyBorder="1" applyAlignment="1">
      <alignment vertical="center"/>
    </xf>
    <xf numFmtId="0" fontId="2" fillId="2" borderId="0" xfId="0" applyFont="1" applyFill="1" applyAlignment="1">
      <alignment horizontal="center" vertical="center"/>
    </xf>
    <xf numFmtId="2" fontId="2" fillId="2" borderId="0" xfId="0" applyNumberFormat="1" applyFont="1" applyFill="1" applyAlignment="1">
      <alignment horizontal="center" vertical="center"/>
    </xf>
    <xf numFmtId="0" fontId="0" fillId="7" borderId="0" xfId="0" applyFill="1" applyBorder="1" applyAlignment="1">
      <alignment horizontal="center" vertical="center"/>
    </xf>
    <xf numFmtId="0" fontId="19" fillId="7" borderId="0" xfId="0" applyFont="1" applyFill="1" applyBorder="1" applyAlignment="1">
      <alignment horizontal="center" vertical="center"/>
    </xf>
    <xf numFmtId="2" fontId="0" fillId="7" borderId="0" xfId="0" applyNumberFormat="1" applyFill="1" applyAlignment="1">
      <alignment vertical="center"/>
    </xf>
    <xf numFmtId="0" fontId="20" fillId="3" borderId="0" xfId="0" applyFont="1" applyFill="1" applyAlignment="1">
      <alignment vertical="center"/>
    </xf>
    <xf numFmtId="0" fontId="22" fillId="3" borderId="0" xfId="0" applyFont="1" applyFill="1" applyAlignment="1">
      <alignment vertical="center"/>
    </xf>
    <xf numFmtId="167" fontId="22" fillId="3" borderId="0" xfId="0" applyNumberFormat="1" applyFont="1" applyFill="1" applyAlignment="1">
      <alignment horizontal="center" vertical="center"/>
    </xf>
    <xf numFmtId="0" fontId="23" fillId="3" borderId="0" xfId="1" applyNumberFormat="1" applyFont="1" applyFill="1" applyAlignment="1">
      <alignment horizontal="center" vertical="center" wrapText="1"/>
    </xf>
    <xf numFmtId="0" fontId="22" fillId="3" borderId="0" xfId="1" applyNumberFormat="1" applyFont="1" applyFill="1" applyAlignment="1">
      <alignment horizontal="center" vertical="center"/>
    </xf>
    <xf numFmtId="0" fontId="22" fillId="3" borderId="0" xfId="0" applyFont="1" applyFill="1" applyAlignment="1">
      <alignment horizontal="center" vertical="center"/>
    </xf>
    <xf numFmtId="0" fontId="22" fillId="3" borderId="0" xfId="0" applyNumberFormat="1" applyFont="1" applyFill="1" applyAlignment="1">
      <alignment horizontal="center" vertical="center"/>
    </xf>
    <xf numFmtId="0" fontId="22" fillId="3" borderId="0" xfId="1" applyNumberFormat="1" applyFont="1" applyFill="1" applyAlignment="1">
      <alignment vertical="center"/>
    </xf>
    <xf numFmtId="1" fontId="20" fillId="3" borderId="0" xfId="0" applyNumberFormat="1" applyFont="1" applyFill="1" applyAlignment="1">
      <alignment vertical="center"/>
    </xf>
    <xf numFmtId="166" fontId="24" fillId="3" borderId="0" xfId="0" applyNumberFormat="1" applyFont="1" applyFill="1" applyAlignment="1">
      <alignment vertical="center"/>
    </xf>
    <xf numFmtId="167" fontId="23" fillId="3" borderId="0" xfId="1" applyNumberFormat="1" applyFont="1" applyFill="1" applyAlignment="1">
      <alignment horizontal="right" vertical="center"/>
    </xf>
    <xf numFmtId="1" fontId="22" fillId="3" borderId="0" xfId="0" applyNumberFormat="1" applyFont="1" applyFill="1" applyAlignment="1">
      <alignment vertical="center"/>
    </xf>
    <xf numFmtId="2" fontId="23" fillId="3" borderId="0" xfId="1" applyNumberFormat="1" applyFont="1" applyFill="1" applyAlignment="1">
      <alignment horizontal="center" vertical="center"/>
    </xf>
    <xf numFmtId="0" fontId="22" fillId="3" borderId="0" xfId="0" applyFont="1" applyFill="1" applyBorder="1" applyAlignment="1">
      <alignment vertical="center"/>
    </xf>
    <xf numFmtId="2" fontId="22" fillId="3" borderId="0" xfId="0" applyNumberFormat="1" applyFont="1" applyFill="1" applyBorder="1" applyAlignment="1">
      <alignment horizontal="center" vertical="center"/>
    </xf>
    <xf numFmtId="0" fontId="22" fillId="3" borderId="1" xfId="0" applyFont="1" applyFill="1" applyBorder="1" applyAlignment="1">
      <alignment vertical="center"/>
    </xf>
    <xf numFmtId="2" fontId="22" fillId="3" borderId="1" xfId="0" applyNumberFormat="1" applyFont="1" applyFill="1" applyBorder="1" applyAlignment="1">
      <alignment horizontal="center" vertical="center"/>
    </xf>
    <xf numFmtId="0" fontId="14" fillId="0" borderId="0" xfId="0" applyFont="1" applyAlignment="1" applyProtection="1">
      <alignment vertical="center"/>
      <protection hidden="1"/>
    </xf>
    <xf numFmtId="2" fontId="0" fillId="0" borderId="0" xfId="1" applyNumberFormat="1" applyFont="1" applyAlignment="1" applyProtection="1">
      <alignment vertical="center"/>
      <protection hidden="1"/>
    </xf>
    <xf numFmtId="2" fontId="0" fillId="0" borderId="0" xfId="0" applyNumberFormat="1" applyAlignment="1" applyProtection="1">
      <alignment vertical="center"/>
      <protection hidden="1"/>
    </xf>
    <xf numFmtId="0" fontId="19" fillId="7" borderId="10" xfId="0" applyFont="1" applyFill="1" applyBorder="1" applyAlignment="1">
      <alignment horizontal="left" vertical="center"/>
    </xf>
    <xf numFmtId="0" fontId="19" fillId="7" borderId="1" xfId="0" applyFont="1" applyFill="1" applyBorder="1" applyAlignment="1">
      <alignment horizontal="left" vertical="center"/>
    </xf>
    <xf numFmtId="0" fontId="19" fillId="7" borderId="8" xfId="0" applyFont="1" applyFill="1" applyBorder="1" applyAlignment="1">
      <alignment horizontal="left" vertical="center"/>
    </xf>
    <xf numFmtId="0" fontId="19" fillId="7" borderId="0" xfId="0" applyFont="1" applyFill="1" applyBorder="1" applyAlignment="1">
      <alignment horizontal="left" vertical="center"/>
    </xf>
    <xf numFmtId="0" fontId="10" fillId="7" borderId="8" xfId="0" applyFont="1" applyFill="1" applyBorder="1" applyAlignment="1">
      <alignment horizontal="left" vertical="center"/>
    </xf>
    <xf numFmtId="0" fontId="0" fillId="7" borderId="2" xfId="0" applyFill="1" applyBorder="1" applyAlignment="1">
      <alignment horizontal="center" vertical="center"/>
    </xf>
    <xf numFmtId="0" fontId="0" fillId="7" borderId="15" xfId="0" applyFill="1" applyBorder="1" applyAlignment="1">
      <alignment horizontal="center" vertical="center"/>
    </xf>
    <xf numFmtId="0" fontId="0" fillId="7" borderId="4" xfId="0" applyFill="1" applyBorder="1" applyAlignment="1">
      <alignment horizontal="center" vertical="center"/>
    </xf>
    <xf numFmtId="3" fontId="19" fillId="0" borderId="0" xfId="3" applyNumberFormat="1" applyFont="1" applyFill="1" applyBorder="1" applyAlignment="1" applyProtection="1">
      <alignment horizontal="center" vertical="center"/>
      <protection locked="0"/>
    </xf>
    <xf numFmtId="2" fontId="0" fillId="0" borderId="2" xfId="0" applyNumberFormat="1" applyFill="1" applyBorder="1" applyAlignment="1">
      <alignment horizontal="center" vertical="center"/>
    </xf>
    <xf numFmtId="164" fontId="11" fillId="7" borderId="1" xfId="1" applyNumberFormat="1" applyFont="1" applyFill="1" applyBorder="1" applyAlignment="1">
      <alignment horizontal="center" vertical="center"/>
    </xf>
    <xf numFmtId="0" fontId="25" fillId="7" borderId="0" xfId="0" applyFont="1" applyFill="1" applyBorder="1" applyAlignment="1" applyProtection="1">
      <alignment vertical="center"/>
      <protection hidden="1"/>
    </xf>
    <xf numFmtId="0" fontId="10" fillId="0" borderId="0" xfId="0" applyFont="1" applyFill="1" applyAlignment="1">
      <alignment horizontal="left" vertical="center"/>
    </xf>
    <xf numFmtId="1" fontId="19" fillId="0" borderId="0" xfId="0" applyNumberFormat="1" applyFont="1" applyFill="1" applyBorder="1" applyAlignment="1" applyProtection="1">
      <alignment horizontal="center" vertical="center"/>
      <protection locked="0"/>
    </xf>
    <xf numFmtId="2" fontId="19" fillId="0" borderId="0" xfId="0" applyNumberFormat="1" applyFont="1" applyFill="1" applyBorder="1" applyAlignment="1" applyProtection="1">
      <alignment horizontal="center" vertical="center"/>
      <protection locked="0"/>
    </xf>
    <xf numFmtId="164" fontId="19" fillId="0" borderId="0" xfId="0" applyNumberFormat="1" applyFont="1" applyFill="1" applyBorder="1" applyAlignment="1" applyProtection="1">
      <alignment horizontal="center" vertical="center"/>
      <protection locked="0"/>
    </xf>
    <xf numFmtId="3" fontId="25" fillId="0" borderId="0" xfId="0" applyNumberFormat="1" applyFont="1" applyFill="1" applyBorder="1" applyAlignment="1" applyProtection="1">
      <alignment horizontal="center" vertical="center"/>
      <protection hidden="1"/>
    </xf>
    <xf numFmtId="2" fontId="10" fillId="0" borderId="0" xfId="0" applyNumberFormat="1" applyFont="1" applyFill="1" applyBorder="1" applyAlignment="1">
      <alignment horizontal="center" vertical="center"/>
    </xf>
    <xf numFmtId="2" fontId="8" fillId="0" borderId="2" xfId="0" applyNumberFormat="1" applyFont="1" applyFill="1" applyBorder="1" applyAlignment="1">
      <alignment horizontal="center" vertical="center"/>
    </xf>
    <xf numFmtId="2" fontId="8" fillId="0" borderId="0" xfId="0" applyNumberFormat="1" applyFont="1" applyFill="1" applyBorder="1" applyAlignment="1">
      <alignment horizontal="center" vertical="center"/>
    </xf>
    <xf numFmtId="0" fontId="0" fillId="0" borderId="2" xfId="0" applyFill="1" applyBorder="1" applyAlignment="1">
      <alignment vertical="center"/>
    </xf>
    <xf numFmtId="1" fontId="7" fillId="0" borderId="2" xfId="0" applyNumberFormat="1" applyFont="1" applyFill="1" applyBorder="1" applyAlignment="1">
      <alignment vertical="center"/>
    </xf>
    <xf numFmtId="165" fontId="0" fillId="0" borderId="2" xfId="0" applyNumberFormat="1" applyFill="1" applyBorder="1" applyAlignment="1">
      <alignment horizontal="center" vertical="center"/>
    </xf>
    <xf numFmtId="0" fontId="0" fillId="0" borderId="0" xfId="0" applyFill="1" applyBorder="1" applyAlignment="1">
      <alignment vertical="center"/>
    </xf>
    <xf numFmtId="1" fontId="7" fillId="7" borderId="0" xfId="0" applyNumberFormat="1" applyFont="1" applyFill="1" applyBorder="1" applyAlignment="1">
      <alignment vertical="center"/>
    </xf>
    <xf numFmtId="165" fontId="7" fillId="7" borderId="0" xfId="0" applyNumberFormat="1" applyFont="1" applyFill="1" applyBorder="1" applyAlignment="1">
      <alignment vertical="center"/>
    </xf>
    <xf numFmtId="0" fontId="19" fillId="7" borderId="9" xfId="0" applyFont="1" applyFill="1" applyBorder="1" applyAlignment="1">
      <alignment vertical="center"/>
    </xf>
    <xf numFmtId="0" fontId="5" fillId="7" borderId="0" xfId="0" applyFont="1" applyFill="1" applyBorder="1" applyAlignment="1">
      <alignment horizontal="center" vertical="center"/>
    </xf>
    <xf numFmtId="2" fontId="23" fillId="3" borderId="1" xfId="1" applyNumberFormat="1" applyFont="1" applyFill="1" applyBorder="1" applyAlignment="1">
      <alignment horizontal="center" vertical="center"/>
    </xf>
    <xf numFmtId="2" fontId="0" fillId="0" borderId="0" xfId="0" applyNumberFormat="1" applyAlignment="1">
      <alignment horizontal="center"/>
    </xf>
    <xf numFmtId="2" fontId="0" fillId="0" borderId="0" xfId="0" applyNumberFormat="1" applyAlignment="1">
      <alignment horizontal="center"/>
    </xf>
    <xf numFmtId="168" fontId="0" fillId="0" borderId="0" xfId="0" applyNumberFormat="1" applyAlignment="1">
      <alignment horizontal="center" vertical="center"/>
    </xf>
    <xf numFmtId="173" fontId="0" fillId="0" borderId="0" xfId="0" applyNumberFormat="1" applyAlignment="1">
      <alignment horizontal="center"/>
    </xf>
    <xf numFmtId="173" fontId="2" fillId="0" borderId="0" xfId="0" applyNumberFormat="1" applyFont="1" applyAlignment="1">
      <alignment horizontal="center"/>
    </xf>
    <xf numFmtId="0" fontId="30" fillId="7" borderId="0" xfId="0" applyFont="1" applyFill="1" applyBorder="1" applyAlignment="1">
      <alignment horizontal="center"/>
    </xf>
    <xf numFmtId="0" fontId="32" fillId="12" borderId="0" xfId="0" applyFont="1" applyFill="1" applyBorder="1" applyAlignment="1">
      <alignment horizontal="center" vertical="center"/>
    </xf>
    <xf numFmtId="0" fontId="2" fillId="0" borderId="0" xfId="0" applyFont="1" applyAlignment="1">
      <alignment horizontal="center"/>
    </xf>
    <xf numFmtId="2" fontId="0" fillId="0" borderId="0" xfId="0" applyNumberFormat="1" applyAlignment="1">
      <alignment horizontal="center"/>
    </xf>
    <xf numFmtId="0" fontId="10" fillId="7" borderId="0" xfId="0" applyFont="1" applyFill="1" applyAlignment="1">
      <alignment horizontal="center" vertical="center"/>
    </xf>
    <xf numFmtId="0" fontId="10" fillId="7" borderId="16" xfId="0" applyFont="1" applyFill="1" applyBorder="1" applyAlignment="1">
      <alignment horizontal="center" vertical="center"/>
    </xf>
    <xf numFmtId="0" fontId="10" fillId="7" borderId="12"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33" fillId="13" borderId="12" xfId="0" applyFont="1" applyFill="1" applyBorder="1" applyAlignment="1">
      <alignment horizontal="center" vertical="center"/>
    </xf>
    <xf numFmtId="0" fontId="33" fillId="13" borderId="13" xfId="0" applyFont="1" applyFill="1" applyBorder="1" applyAlignment="1">
      <alignment horizontal="center" vertical="center"/>
    </xf>
    <xf numFmtId="0" fontId="33" fillId="13" borderId="14" xfId="0" applyFont="1" applyFill="1" applyBorder="1" applyAlignment="1">
      <alignment horizontal="center" vertical="center"/>
    </xf>
    <xf numFmtId="0" fontId="39" fillId="0" borderId="6" xfId="0" applyFont="1" applyFill="1" applyBorder="1" applyAlignment="1">
      <alignment horizontal="left" vertical="center" wrapText="1"/>
    </xf>
    <xf numFmtId="0" fontId="39" fillId="0" borderId="3" xfId="0" applyFont="1" applyFill="1" applyBorder="1" applyAlignment="1">
      <alignment horizontal="left" vertical="center" wrapText="1"/>
    </xf>
    <xf numFmtId="0" fontId="39" fillId="0" borderId="7" xfId="0" applyFont="1" applyFill="1" applyBorder="1" applyAlignment="1">
      <alignment horizontal="left" vertical="center" wrapText="1"/>
    </xf>
    <xf numFmtId="0" fontId="39" fillId="0" borderId="8"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39" fillId="0" borderId="9" xfId="0" applyFont="1" applyFill="1" applyBorder="1" applyAlignment="1">
      <alignment horizontal="left" vertical="center" wrapText="1"/>
    </xf>
    <xf numFmtId="0" fontId="39" fillId="0" borderId="10" xfId="0" applyFont="1" applyFill="1" applyBorder="1" applyAlignment="1">
      <alignment horizontal="left" vertical="center"/>
    </xf>
    <xf numFmtId="0" fontId="39" fillId="0" borderId="1" xfId="0" applyFont="1" applyFill="1" applyBorder="1" applyAlignment="1">
      <alignment horizontal="left" vertical="center"/>
    </xf>
    <xf numFmtId="0" fontId="39" fillId="0" borderId="11" xfId="0" applyFont="1" applyFill="1" applyBorder="1" applyAlignment="1">
      <alignment horizontal="left" vertical="center"/>
    </xf>
    <xf numFmtId="0" fontId="36" fillId="7" borderId="0" xfId="0" applyFont="1" applyFill="1" applyBorder="1" applyAlignment="1">
      <alignment horizontal="left" vertical="center" wrapText="1"/>
    </xf>
    <xf numFmtId="0" fontId="38" fillId="7" borderId="0" xfId="0" applyFont="1" applyFill="1" applyAlignment="1">
      <alignment horizontal="left" vertical="center" wrapText="1"/>
    </xf>
    <xf numFmtId="0" fontId="0" fillId="7" borderId="15" xfId="0" applyFill="1" applyBorder="1" applyAlignment="1">
      <alignment horizontal="center" vertical="center"/>
    </xf>
    <xf numFmtId="0" fontId="0" fillId="7" borderId="4" xfId="0" applyFill="1" applyBorder="1" applyAlignment="1">
      <alignment horizontal="center" vertical="center"/>
    </xf>
    <xf numFmtId="0" fontId="10" fillId="7" borderId="1" xfId="0" applyFont="1" applyFill="1" applyBorder="1" applyAlignment="1">
      <alignment horizontal="center" vertical="center"/>
    </xf>
    <xf numFmtId="0" fontId="0" fillId="7" borderId="2" xfId="0" applyFill="1" applyBorder="1" applyAlignment="1">
      <alignment horizontal="center" vertical="center"/>
    </xf>
    <xf numFmtId="0" fontId="0" fillId="7" borderId="0" xfId="0" applyFill="1" applyAlignment="1">
      <alignment horizontal="center" vertical="center"/>
    </xf>
    <xf numFmtId="0" fontId="19" fillId="7" borderId="8" xfId="0" applyFont="1" applyFill="1" applyBorder="1" applyAlignment="1">
      <alignment horizontal="left" vertical="center"/>
    </xf>
    <xf numFmtId="0" fontId="19" fillId="7" borderId="0" xfId="0" applyFont="1" applyFill="1" applyBorder="1" applyAlignment="1">
      <alignment horizontal="left" vertical="center"/>
    </xf>
    <xf numFmtId="0" fontId="17" fillId="3" borderId="0" xfId="0" applyFont="1" applyFill="1" applyAlignment="1">
      <alignment horizontal="center" vertical="center"/>
    </xf>
    <xf numFmtId="0" fontId="19" fillId="7" borderId="10" xfId="0" applyFont="1" applyFill="1" applyBorder="1" applyAlignment="1">
      <alignment horizontal="left" vertical="center"/>
    </xf>
    <xf numFmtId="0" fontId="19" fillId="7" borderId="1" xfId="0" applyFont="1" applyFill="1" applyBorder="1" applyAlignment="1">
      <alignment horizontal="left" vertical="center"/>
    </xf>
    <xf numFmtId="0" fontId="10" fillId="7" borderId="21" xfId="0" applyFont="1" applyFill="1" applyBorder="1" applyAlignment="1">
      <alignment horizontal="center" vertical="center"/>
    </xf>
    <xf numFmtId="0" fontId="10" fillId="7" borderId="22" xfId="0" applyFont="1" applyFill="1" applyBorder="1" applyAlignment="1">
      <alignment horizontal="center" vertical="center"/>
    </xf>
    <xf numFmtId="0" fontId="18" fillId="0" borderId="1" xfId="0" applyFont="1" applyBorder="1" applyAlignment="1">
      <alignment horizontal="center" vertical="center" wrapText="1"/>
    </xf>
    <xf numFmtId="0" fontId="34" fillId="13" borderId="12" xfId="0" applyFont="1" applyFill="1" applyBorder="1" applyAlignment="1">
      <alignment horizontal="center" vertical="center"/>
    </xf>
    <xf numFmtId="0" fontId="34" fillId="13" borderId="13" xfId="0" applyFont="1" applyFill="1" applyBorder="1" applyAlignment="1">
      <alignment horizontal="center" vertical="center"/>
    </xf>
    <xf numFmtId="0" fontId="34" fillId="13" borderId="14" xfId="0" applyFont="1" applyFill="1" applyBorder="1" applyAlignment="1">
      <alignment horizontal="center" vertical="center"/>
    </xf>
    <xf numFmtId="0" fontId="10" fillId="7" borderId="8" xfId="0" applyFont="1" applyFill="1" applyBorder="1" applyAlignment="1">
      <alignment horizontal="left" vertical="center" wrapText="1"/>
    </xf>
    <xf numFmtId="0" fontId="10" fillId="7" borderId="0" xfId="0" applyFont="1" applyFill="1" applyBorder="1" applyAlignment="1">
      <alignment horizontal="left" vertical="center" wrapText="1"/>
    </xf>
    <xf numFmtId="0" fontId="10" fillId="7" borderId="9" xfId="0" applyFont="1" applyFill="1" applyBorder="1" applyAlignment="1">
      <alignment horizontal="left" vertical="center" wrapText="1"/>
    </xf>
    <xf numFmtId="0" fontId="10" fillId="7" borderId="8" xfId="0" applyFont="1" applyFill="1" applyBorder="1" applyAlignment="1">
      <alignment horizontal="left" vertical="center"/>
    </xf>
    <xf numFmtId="0" fontId="10" fillId="7" borderId="0" xfId="0" applyFont="1" applyFill="1" applyBorder="1" applyAlignment="1">
      <alignment horizontal="left" vertical="center"/>
    </xf>
    <xf numFmtId="0" fontId="10" fillId="7" borderId="9" xfId="0" applyFont="1" applyFill="1" applyBorder="1" applyAlignment="1">
      <alignment horizontal="left" vertical="center"/>
    </xf>
    <xf numFmtId="0" fontId="37" fillId="7" borderId="0" xfId="0" applyFont="1" applyFill="1" applyBorder="1" applyAlignment="1">
      <alignment horizontal="center" vertical="center"/>
    </xf>
    <xf numFmtId="0" fontId="33" fillId="7" borderId="0" xfId="0" applyFont="1" applyFill="1" applyBorder="1" applyAlignment="1">
      <alignment horizontal="center" vertic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10" fillId="0" borderId="0" xfId="0" applyFont="1" applyAlignment="1">
      <alignment horizontal="center"/>
    </xf>
    <xf numFmtId="0" fontId="2" fillId="0" borderId="0" xfId="0" applyFont="1" applyAlignment="1">
      <alignment horizontal="left"/>
    </xf>
    <xf numFmtId="0" fontId="2" fillId="0" borderId="0"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10" fillId="7" borderId="6"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6" xfId="0" applyFont="1" applyFill="1" applyBorder="1" applyAlignment="1">
      <alignment horizontal="left" vertical="center" wrapText="1"/>
    </xf>
    <xf numFmtId="0" fontId="10" fillId="7" borderId="3" xfId="0" applyFont="1" applyFill="1" applyBorder="1" applyAlignment="1">
      <alignment horizontal="left" vertical="center" wrapText="1"/>
    </xf>
    <xf numFmtId="0" fontId="10" fillId="7" borderId="7" xfId="0" applyFont="1" applyFill="1" applyBorder="1" applyAlignment="1">
      <alignment horizontal="left" vertical="center" wrapText="1"/>
    </xf>
    <xf numFmtId="0" fontId="33" fillId="13" borderId="6" xfId="0" applyFont="1" applyFill="1" applyBorder="1" applyAlignment="1">
      <alignment horizontal="center" vertical="center"/>
    </xf>
    <xf numFmtId="0" fontId="33" fillId="13" borderId="3" xfId="0" applyFont="1" applyFill="1" applyBorder="1" applyAlignment="1">
      <alignment horizontal="center" vertical="center"/>
    </xf>
    <xf numFmtId="0" fontId="33" fillId="13" borderId="7" xfId="0" applyFont="1" applyFill="1" applyBorder="1" applyAlignment="1">
      <alignment horizontal="center" vertical="center"/>
    </xf>
    <xf numFmtId="0" fontId="10" fillId="7" borderId="1" xfId="0" applyFont="1" applyFill="1" applyBorder="1" applyAlignment="1">
      <alignment horizontal="left" vertical="center"/>
    </xf>
  </cellXfs>
  <cellStyles count="6">
    <cellStyle name="Comma" xfId="3" builtinId="3"/>
    <cellStyle name="Currency" xfId="2" builtinId="4"/>
    <cellStyle name="Normal" xfId="0" builtinId="0"/>
    <cellStyle name="Normal 2" xfId="4" xr:uid="{9AC22C6E-AE5F-D542-9A6F-FFB126CFAC1D}"/>
    <cellStyle name="Percent" xfId="1" builtinId="5"/>
    <cellStyle name="Percent 2" xfId="5" xr:uid="{980CBFFD-E4DE-3F45-925C-250DF0D8294E}"/>
  </cellStyles>
  <dxfs count="18">
    <dxf>
      <font>
        <color rgb="FFFF0000"/>
      </font>
      <fill>
        <patternFill patternType="solid">
          <bgColor theme="0"/>
        </patternFill>
      </fill>
    </dxf>
    <dxf>
      <font>
        <color rgb="FF0070C0"/>
      </font>
      <numFmt numFmtId="174" formatCode="\+0.00%"/>
      <fill>
        <patternFill patternType="solid">
          <bgColor theme="0"/>
        </patternFill>
      </fill>
    </dxf>
    <dxf>
      <font>
        <b/>
        <i val="0"/>
        <color rgb="FFFF0000"/>
      </font>
    </dxf>
    <dxf>
      <font>
        <b/>
        <i val="0"/>
        <color rgb="FF00B050"/>
      </font>
    </dxf>
    <dxf>
      <font>
        <b/>
        <i val="0"/>
        <color rgb="FF7030A0"/>
      </font>
    </dxf>
    <dxf>
      <font>
        <b/>
        <i val="0"/>
        <color rgb="FFFF0000"/>
      </font>
    </dxf>
    <dxf>
      <font>
        <b/>
        <i val="0"/>
        <color rgb="FF00B050"/>
      </font>
    </dxf>
    <dxf>
      <font>
        <b/>
        <i val="0"/>
        <color rgb="FF7030A0"/>
      </font>
    </dxf>
    <dxf>
      <font>
        <color rgb="FFFF0000"/>
      </font>
      <fill>
        <patternFill patternType="none">
          <bgColor auto="1"/>
        </patternFill>
      </fill>
    </dxf>
    <dxf>
      <font>
        <color theme="4" tint="-0.24994659260841701"/>
      </font>
      <fill>
        <patternFill patternType="none">
          <bgColor auto="1"/>
        </patternFill>
      </fill>
    </dxf>
    <dxf>
      <font>
        <color rgb="FFFF0000"/>
      </font>
      <fill>
        <patternFill patternType="none">
          <bgColor auto="1"/>
        </patternFill>
      </fill>
    </dxf>
    <dxf>
      <font>
        <color rgb="FF0070C0"/>
      </font>
      <fill>
        <patternFill patternType="none">
          <bgColor auto="1"/>
        </patternFill>
      </fill>
    </dxf>
    <dxf>
      <font>
        <b/>
        <i val="0"/>
        <color rgb="FFFF0000"/>
      </font>
    </dxf>
    <dxf>
      <font>
        <b/>
        <i val="0"/>
        <color rgb="FF00B050"/>
      </font>
    </dxf>
    <dxf>
      <font>
        <b/>
        <i val="0"/>
        <color rgb="FF7030A0"/>
      </font>
    </dxf>
    <dxf>
      <font>
        <b/>
        <i val="0"/>
        <color rgb="FFFF0000"/>
      </font>
    </dxf>
    <dxf>
      <font>
        <b/>
        <i val="0"/>
        <color rgb="FF00B050"/>
      </font>
    </dxf>
    <dxf>
      <font>
        <b/>
        <i val="0"/>
        <color rgb="FF7030A0"/>
      </font>
    </dxf>
  </dxfs>
  <tableStyles count="0" defaultTableStyle="TableStyleMedium2" defaultPivotStyle="PivotStyleLight16"/>
  <colors>
    <mruColors>
      <color rgb="FF7030A0"/>
      <color rgb="FFAC9BE9"/>
      <color rgb="FFD3CAF3"/>
      <color rgb="FFF3EDF7"/>
      <color rgb="FFFFFF99"/>
      <color rgb="FFFFFD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'STTD P Energy equation'!$G$3</c:f>
              <c:strCache>
                <c:ptCount val="1"/>
                <c:pt idx="0">
                  <c:v>STTDP_NE_kg</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1"/>
            <c:dispEq val="1"/>
            <c:trendlineLbl>
              <c:layout>
                <c:manualLayout>
                  <c:x val="8.3989970051712132E-2"/>
                  <c:y val="0.13049367024779171"/>
                </c:manualLayout>
              </c:layout>
              <c:numFmt formatCode="#,##0.000000000000000000000"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rendlineLbl>
          </c:trendline>
          <c:xVal>
            <c:numRef>
              <c:f>'STTD P Energy equation'!$C$4:$C$8</c:f>
              <c:numCache>
                <c:formatCode>0.00</c:formatCode>
                <c:ptCount val="5"/>
                <c:pt idx="0">
                  <c:v>17.758141285500002</c:v>
                </c:pt>
                <c:pt idx="1">
                  <c:v>36.627583877500001</c:v>
                </c:pt>
                <c:pt idx="2">
                  <c:v>63.208096759499995</c:v>
                </c:pt>
                <c:pt idx="3">
                  <c:v>82.621850195500016</c:v>
                </c:pt>
                <c:pt idx="4">
                  <c:v>110.0641885805</c:v>
                </c:pt>
              </c:numCache>
            </c:numRef>
          </c:xVal>
          <c:yVal>
            <c:numRef>
              <c:f>'STTD P Energy equation'!$G$4:$G$8</c:f>
              <c:numCache>
                <c:formatCode>0.00</c:formatCode>
                <c:ptCount val="5"/>
                <c:pt idx="0">
                  <c:v>1.7842323651452281</c:v>
                </c:pt>
                <c:pt idx="1">
                  <c:v>1.5644298065047344</c:v>
                </c:pt>
                <c:pt idx="2">
                  <c:v>1.3221153846153846</c:v>
                </c:pt>
                <c:pt idx="3">
                  <c:v>1.1426319936958234</c:v>
                </c:pt>
                <c:pt idx="4">
                  <c:v>1.0220125786163523</c:v>
                </c:pt>
              </c:numCache>
            </c:numRef>
          </c:yVal>
          <c:smooth val="0"/>
          <c:extLst>
            <c:ext xmlns:c16="http://schemas.microsoft.com/office/drawing/2014/chart" uri="{C3380CC4-5D6E-409C-BE32-E72D297353CC}">
              <c16:uniqueId val="{00000000-73FB-4E4E-A9F8-F77B9741B22E}"/>
            </c:ext>
          </c:extLst>
        </c:ser>
        <c:dLbls>
          <c:showLegendKey val="0"/>
          <c:showVal val="0"/>
          <c:showCatName val="0"/>
          <c:showSerName val="0"/>
          <c:showPercent val="0"/>
          <c:showBubbleSize val="0"/>
        </c:dLbls>
        <c:axId val="1304055392"/>
        <c:axId val="1304097264"/>
      </c:scatterChart>
      <c:valAx>
        <c:axId val="1304055392"/>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Body Weight</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304097264"/>
        <c:crosses val="autoZero"/>
        <c:crossBetween val="midCat"/>
      </c:valAx>
      <c:valAx>
        <c:axId val="1304097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STTD P:NE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30405539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'STTD P Energy equation'!$L$3</c:f>
              <c:strCache>
                <c:ptCount val="1"/>
                <c:pt idx="0">
                  <c:v>STTD P_ME_kg</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1"/>
            <c:dispEq val="1"/>
            <c:trendlineLbl>
              <c:layout>
                <c:manualLayout>
                  <c:x val="8.3989970051712132E-2"/>
                  <c:y val="0.13049367024779171"/>
                </c:manualLayout>
              </c:layout>
              <c:numFmt formatCode="#,##0.000000000000000000000"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rendlineLbl>
          </c:trendline>
          <c:xVal>
            <c:numRef>
              <c:f>'STTD P Energy equation'!$C$4:$C$8</c:f>
              <c:numCache>
                <c:formatCode>0.00</c:formatCode>
                <c:ptCount val="5"/>
                <c:pt idx="0">
                  <c:v>17.758141285500002</c:v>
                </c:pt>
                <c:pt idx="1">
                  <c:v>36.627583877500001</c:v>
                </c:pt>
                <c:pt idx="2">
                  <c:v>63.208096759499995</c:v>
                </c:pt>
                <c:pt idx="3">
                  <c:v>82.621850195500016</c:v>
                </c:pt>
                <c:pt idx="4">
                  <c:v>110.0641885805</c:v>
                </c:pt>
              </c:numCache>
            </c:numRef>
          </c:xVal>
          <c:yVal>
            <c:numRef>
              <c:f>'STTD P Energy equation'!$L$4:$L$8</c:f>
              <c:numCache>
                <c:formatCode>0.000000000</c:formatCode>
                <c:ptCount val="5"/>
                <c:pt idx="0">
                  <c:v>1.3169984686064318</c:v>
                </c:pt>
                <c:pt idx="1">
                  <c:v>1.1567732115677321</c:v>
                </c:pt>
                <c:pt idx="2">
                  <c:v>1</c:v>
                </c:pt>
                <c:pt idx="3">
                  <c:v>0.87878787878787878</c:v>
                </c:pt>
                <c:pt idx="4">
                  <c:v>0.78573587186461169</c:v>
                </c:pt>
              </c:numCache>
            </c:numRef>
          </c:yVal>
          <c:smooth val="0"/>
          <c:extLst>
            <c:ext xmlns:c16="http://schemas.microsoft.com/office/drawing/2014/chart" uri="{C3380CC4-5D6E-409C-BE32-E72D297353CC}">
              <c16:uniqueId val="{00000001-1A69-0044-9E6F-4B71F3EAC6E6}"/>
            </c:ext>
          </c:extLst>
        </c:ser>
        <c:dLbls>
          <c:showLegendKey val="0"/>
          <c:showVal val="0"/>
          <c:showCatName val="0"/>
          <c:showSerName val="0"/>
          <c:showPercent val="0"/>
          <c:showBubbleSize val="0"/>
        </c:dLbls>
        <c:axId val="1304055392"/>
        <c:axId val="1304097264"/>
      </c:scatterChart>
      <c:valAx>
        <c:axId val="1304055392"/>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Body Weight</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304097264"/>
        <c:crosses val="autoZero"/>
        <c:crossBetween val="midCat"/>
      </c:valAx>
      <c:valAx>
        <c:axId val="1304097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STTD P:ME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304055392"/>
        <c:crosses val="autoZero"/>
        <c:crossBetween val="midCat"/>
        <c:majorUnit val="0.4"/>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'NRC 2012'!$D$19</c:f>
              <c:strCache>
                <c:ptCount val="1"/>
                <c:pt idx="0">
                  <c:v>P, STTD</c:v>
                </c:pt>
              </c:strCache>
            </c:strRef>
          </c:tx>
          <c:spPr>
            <a:ln w="44450" cap="rnd">
              <a:solidFill>
                <a:srgbClr val="7030A0"/>
              </a:solidFill>
              <a:round/>
            </a:ln>
            <a:effectLst/>
          </c:spPr>
          <c:marker>
            <c:symbol val="circle"/>
            <c:size val="5"/>
            <c:spPr>
              <a:solidFill>
                <a:schemeClr val="accent4">
                  <a:lumMod val="40000"/>
                  <a:lumOff val="60000"/>
                </a:schemeClr>
              </a:solidFill>
              <a:ln w="9525">
                <a:noFill/>
              </a:ln>
              <a:effectLst/>
            </c:spPr>
          </c:marker>
          <c:trendline>
            <c:spPr>
              <a:ln w="19050" cap="rnd">
                <a:solidFill>
                  <a:schemeClr val="accent1"/>
                </a:solidFill>
                <a:prstDash val="sysDot"/>
              </a:ln>
              <a:effectLst/>
            </c:spPr>
            <c:trendlineType val="exp"/>
            <c:dispRSqr val="1"/>
            <c:dispEq val="1"/>
            <c:trendlineLbl>
              <c:layout>
                <c:manualLayout>
                  <c:x val="-0.18121630454989776"/>
                  <c:y val="1.8560897972859775E-2"/>
                </c:manualLayout>
              </c:layout>
              <c:numFmt formatCode="#,##0.0000000000" sourceLinked="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trendlineLbl>
          </c:trendline>
          <c:xVal>
            <c:numRef>
              <c:f>'NRC 2012'!$B$20:$B$24</c:f>
              <c:numCache>
                <c:formatCode>0.00</c:formatCode>
                <c:ptCount val="5"/>
                <c:pt idx="0">
                  <c:v>18</c:v>
                </c:pt>
                <c:pt idx="1">
                  <c:v>37.5</c:v>
                </c:pt>
                <c:pt idx="2">
                  <c:v>62.5</c:v>
                </c:pt>
                <c:pt idx="3">
                  <c:v>87.5</c:v>
                </c:pt>
                <c:pt idx="4">
                  <c:v>117.5</c:v>
                </c:pt>
              </c:numCache>
            </c:numRef>
          </c:xVal>
          <c:yVal>
            <c:numRef>
              <c:f>'NRC 2012'!$D$20:$D$24</c:f>
              <c:numCache>
                <c:formatCode>0.00</c:formatCode>
                <c:ptCount val="5"/>
                <c:pt idx="0">
                  <c:v>0.33</c:v>
                </c:pt>
                <c:pt idx="1">
                  <c:v>0.31</c:v>
                </c:pt>
                <c:pt idx="2">
                  <c:v>0.27</c:v>
                </c:pt>
                <c:pt idx="3">
                  <c:v>0.24</c:v>
                </c:pt>
                <c:pt idx="4">
                  <c:v>0.21</c:v>
                </c:pt>
              </c:numCache>
            </c:numRef>
          </c:yVal>
          <c:smooth val="0"/>
          <c:extLst>
            <c:ext xmlns:c16="http://schemas.microsoft.com/office/drawing/2014/chart" uri="{C3380CC4-5D6E-409C-BE32-E72D297353CC}">
              <c16:uniqueId val="{00000000-DDBF-744A-AD76-84B5F93391DD}"/>
            </c:ext>
          </c:extLst>
        </c:ser>
        <c:ser>
          <c:idx val="1"/>
          <c:order val="1"/>
          <c:tx>
            <c:strRef>
              <c:f>'NRC 2012'!$B$50</c:f>
              <c:strCache>
                <c:ptCount val="1"/>
                <c:pt idx="0">
                  <c:v>Predicted Y</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'NRC 2012'!$B$20:$B$24</c:f>
              <c:numCache>
                <c:formatCode>0.00</c:formatCode>
                <c:ptCount val="5"/>
                <c:pt idx="0">
                  <c:v>18</c:v>
                </c:pt>
                <c:pt idx="1">
                  <c:v>37.5</c:v>
                </c:pt>
                <c:pt idx="2">
                  <c:v>62.5</c:v>
                </c:pt>
                <c:pt idx="3">
                  <c:v>87.5</c:v>
                </c:pt>
                <c:pt idx="4">
                  <c:v>117.5</c:v>
                </c:pt>
              </c:numCache>
            </c:numRef>
          </c:xVal>
          <c:yVal>
            <c:numRef>
              <c:f>'NRC 2012'!$B$51:$B$55</c:f>
              <c:numCache>
                <c:formatCode>General</c:formatCode>
                <c:ptCount val="5"/>
                <c:pt idx="0">
                  <c:v>0.32987245716485908</c:v>
                </c:pt>
                <c:pt idx="1">
                  <c:v>0.3056554418276326</c:v>
                </c:pt>
                <c:pt idx="2">
                  <c:v>0.27460798626708582</c:v>
                </c:pt>
                <c:pt idx="3">
                  <c:v>0.2435605307065391</c:v>
                </c:pt>
                <c:pt idx="4">
                  <c:v>0.20630358403388302</c:v>
                </c:pt>
              </c:numCache>
            </c:numRef>
          </c:yVal>
          <c:smooth val="0"/>
          <c:extLst>
            <c:ext xmlns:c16="http://schemas.microsoft.com/office/drawing/2014/chart" uri="{C3380CC4-5D6E-409C-BE32-E72D297353CC}">
              <c16:uniqueId val="{00000003-DDBF-744A-AD76-84B5F93391DD}"/>
            </c:ext>
          </c:extLst>
        </c:ser>
        <c:dLbls>
          <c:showLegendKey val="0"/>
          <c:showVal val="0"/>
          <c:showCatName val="0"/>
          <c:showSerName val="0"/>
          <c:showPercent val="0"/>
          <c:showBubbleSize val="0"/>
        </c:dLbls>
        <c:axId val="2036817024"/>
        <c:axId val="2036818704"/>
      </c:scatterChart>
      <c:valAx>
        <c:axId val="203681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2400" b="1" i="0" u="none" strike="noStrike" kern="1200" baseline="0">
                    <a:solidFill>
                      <a:schemeClr val="tx1">
                        <a:lumMod val="65000"/>
                        <a:lumOff val="35000"/>
                      </a:schemeClr>
                    </a:solidFill>
                    <a:latin typeface="+mn-lt"/>
                    <a:ea typeface="+mn-ea"/>
                    <a:cs typeface="+mn-cs"/>
                  </a:defRPr>
                </a:pPr>
                <a:r>
                  <a:rPr lang="en-US" sz="2400" b="1"/>
                  <a:t>Body Weight, kg</a:t>
                </a:r>
              </a:p>
            </c:rich>
          </c:tx>
          <c:overlay val="0"/>
          <c:spPr>
            <a:noFill/>
            <a:ln>
              <a:noFill/>
            </a:ln>
            <a:effectLst/>
          </c:spPr>
          <c:txPr>
            <a:bodyPr rot="0" spcFirstLastPara="1" vertOverflow="ellipsis" vert="horz" wrap="square" anchor="ctr" anchorCtr="1"/>
            <a:lstStyle/>
            <a:p>
              <a:pPr>
                <a:defRPr sz="24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crossAx val="2036818704"/>
        <c:crosses val="autoZero"/>
        <c:crossBetween val="midCat"/>
      </c:valAx>
      <c:valAx>
        <c:axId val="2036818704"/>
        <c:scaling>
          <c:orientation val="minMax"/>
          <c:min val="0.1500000000000000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400" b="1" i="0" u="none" strike="noStrike" kern="1200" baseline="0">
                    <a:solidFill>
                      <a:schemeClr val="tx1">
                        <a:lumMod val="65000"/>
                        <a:lumOff val="35000"/>
                      </a:schemeClr>
                    </a:solidFill>
                    <a:latin typeface="+mn-lt"/>
                    <a:ea typeface="+mn-ea"/>
                    <a:cs typeface="+mn-cs"/>
                  </a:defRPr>
                </a:pPr>
                <a:r>
                  <a:rPr lang="en-US" sz="2400" b="1"/>
                  <a:t>STTD P, % of diet</a:t>
                </a:r>
              </a:p>
            </c:rich>
          </c:tx>
          <c:overlay val="0"/>
          <c:spPr>
            <a:noFill/>
            <a:ln>
              <a:noFill/>
            </a:ln>
            <a:effectLst/>
          </c:spPr>
          <c:txPr>
            <a:bodyPr rot="-5400000" spcFirstLastPara="1" vertOverflow="ellipsis" vert="horz" wrap="square" anchor="ctr" anchorCtr="1"/>
            <a:lstStyle/>
            <a:p>
              <a:pPr>
                <a:defRPr sz="2400" b="1"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crossAx val="2036817024"/>
        <c:crosses val="autoZero"/>
        <c:crossBetween val="midCat"/>
        <c:majorUnit val="5.000000000000001E-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20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197583</xdr:colOff>
      <xdr:row>2</xdr:row>
      <xdr:rowOff>0</xdr:rowOff>
    </xdr:to>
    <xdr:pic>
      <xdr:nvPicPr>
        <xdr:cNvPr id="2" name="Picture 1">
          <a:extLst>
            <a:ext uri="{FF2B5EF4-FFF2-40B4-BE49-F238E27FC236}">
              <a16:creationId xmlns:a16="http://schemas.microsoft.com/office/drawing/2014/main" id="{88DA3452-2D80-FE4E-9AD9-72C38650A2AA}"/>
            </a:ext>
          </a:extLst>
        </xdr:cNvPr>
        <xdr:cNvPicPr>
          <a:picLocks noChangeAspect="1"/>
        </xdr:cNvPicPr>
      </xdr:nvPicPr>
      <xdr:blipFill>
        <a:blip xmlns:r="http://schemas.openxmlformats.org/officeDocument/2006/relationships" r:embed="rId1"/>
        <a:stretch>
          <a:fillRect/>
        </a:stretch>
      </xdr:blipFill>
      <xdr:spPr>
        <a:xfrm>
          <a:off x="1" y="0"/>
          <a:ext cx="1848582" cy="1104900"/>
        </a:xfrm>
        <a:prstGeom prst="rect">
          <a:avLst/>
        </a:prstGeom>
      </xdr:spPr>
    </xdr:pic>
    <xdr:clientData/>
  </xdr:twoCellAnchor>
  <xdr:twoCellAnchor editAs="oneCell">
    <xdr:from>
      <xdr:col>9</xdr:col>
      <xdr:colOff>744070</xdr:colOff>
      <xdr:row>0</xdr:row>
      <xdr:rowOff>0</xdr:rowOff>
    </xdr:from>
    <xdr:to>
      <xdr:col>10</xdr:col>
      <xdr:colOff>600635</xdr:colOff>
      <xdr:row>2</xdr:row>
      <xdr:rowOff>12700</xdr:rowOff>
    </xdr:to>
    <xdr:pic>
      <xdr:nvPicPr>
        <xdr:cNvPr id="3" name="Picture 2">
          <a:extLst>
            <a:ext uri="{FF2B5EF4-FFF2-40B4-BE49-F238E27FC236}">
              <a16:creationId xmlns:a16="http://schemas.microsoft.com/office/drawing/2014/main" id="{C0B664D9-155A-D24E-8BED-22DECE9278F2}"/>
            </a:ext>
          </a:extLst>
        </xdr:cNvPr>
        <xdr:cNvPicPr>
          <a:picLocks noChangeAspect="1"/>
        </xdr:cNvPicPr>
      </xdr:nvPicPr>
      <xdr:blipFill>
        <a:blip xmlns:r="http://schemas.openxmlformats.org/officeDocument/2006/relationships" r:embed="rId2"/>
        <a:stretch>
          <a:fillRect/>
        </a:stretch>
      </xdr:blipFill>
      <xdr:spPr>
        <a:xfrm>
          <a:off x="8005482" y="0"/>
          <a:ext cx="753036" cy="1169147"/>
        </a:xfrm>
        <a:prstGeom prst="rect">
          <a:avLst/>
        </a:prstGeom>
      </xdr:spPr>
    </xdr:pic>
    <xdr:clientData/>
  </xdr:twoCellAnchor>
  <xdr:oneCellAnchor>
    <xdr:from>
      <xdr:col>0</xdr:col>
      <xdr:colOff>47623</xdr:colOff>
      <xdr:row>2</xdr:row>
      <xdr:rowOff>135466</xdr:rowOff>
    </xdr:from>
    <xdr:ext cx="8782611" cy="7481279"/>
    <xdr:sp macro="" textlink="">
      <xdr:nvSpPr>
        <xdr:cNvPr id="4" name="TextBox 3">
          <a:extLst>
            <a:ext uri="{FF2B5EF4-FFF2-40B4-BE49-F238E27FC236}">
              <a16:creationId xmlns:a16="http://schemas.microsoft.com/office/drawing/2014/main" id="{FD1A2F3C-9C64-EB42-B998-B9ABA0ADD4D3}"/>
            </a:ext>
          </a:extLst>
        </xdr:cNvPr>
        <xdr:cNvSpPr txBox="1"/>
      </xdr:nvSpPr>
      <xdr:spPr>
        <a:xfrm>
          <a:off x="47623" y="1291166"/>
          <a:ext cx="8782611" cy="748127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i="0" u="none" strike="noStrike">
              <a:solidFill>
                <a:schemeClr val="tx1"/>
              </a:solidFill>
              <a:effectLst/>
              <a:latin typeface="+mn-lt"/>
              <a:ea typeface="+mn-ea"/>
              <a:cs typeface="+mn-cs"/>
            </a:rPr>
            <a:t>Steps to use:</a:t>
          </a:r>
        </a:p>
        <a:p>
          <a:endParaRPr lang="en-US" sz="1400" b="1" i="0" u="none" strike="noStrike">
            <a:solidFill>
              <a:schemeClr val="tx1"/>
            </a:solidFill>
            <a:effectLst/>
            <a:latin typeface="+mn-lt"/>
            <a:ea typeface="+mn-ea"/>
            <a:cs typeface="+mn-cs"/>
          </a:endParaRPr>
        </a:p>
        <a:p>
          <a:r>
            <a:rPr lang="en-US" sz="1400" b="0" i="0" u="none" strike="noStrike">
              <a:solidFill>
                <a:schemeClr val="tx1"/>
              </a:solidFill>
              <a:effectLst/>
              <a:latin typeface="+mn-lt"/>
              <a:ea typeface="+mn-ea"/>
              <a:cs typeface="+mn-cs"/>
            </a:rPr>
            <a:t>1. If using the Metabolizable energy basis, go to the Finisher Model - ME Imperial tab.</a:t>
          </a:r>
          <a:r>
            <a:rPr lang="en-US" sz="1400"/>
            <a:t> </a:t>
          </a:r>
        </a:p>
        <a:p>
          <a:r>
            <a:rPr lang="en-US" sz="1400" b="0" i="0" u="none" strike="noStrike">
              <a:solidFill>
                <a:schemeClr val="tx1"/>
              </a:solidFill>
              <a:effectLst/>
              <a:latin typeface="+mn-lt"/>
              <a:ea typeface="+mn-ea"/>
              <a:cs typeface="+mn-cs"/>
            </a:rPr>
            <a:t>2. If using the Net energy basis, go to the Finisher Model - NE Imperial tab.</a:t>
          </a:r>
          <a:r>
            <a:rPr lang="en-US" sz="1400"/>
            <a:t> </a:t>
          </a:r>
        </a:p>
        <a:p>
          <a:r>
            <a:rPr lang="en-US" sz="1400" b="0" i="0" u="none" strike="noStrike">
              <a:solidFill>
                <a:schemeClr val="tx1"/>
              </a:solidFill>
              <a:effectLst/>
              <a:latin typeface="+mn-lt"/>
              <a:ea typeface="+mn-ea"/>
              <a:cs typeface="+mn-cs"/>
            </a:rPr>
            <a:t>3. Enter the input parameters in the yellow cells:</a:t>
          </a:r>
          <a:r>
            <a:rPr lang="en-US" sz="1400"/>
            <a:t> </a:t>
          </a:r>
        </a:p>
        <a:p>
          <a:r>
            <a:rPr lang="en-US" sz="1400" b="0" i="0" u="none" strike="noStrike">
              <a:solidFill>
                <a:schemeClr val="tx1"/>
              </a:solidFill>
              <a:effectLst/>
              <a:latin typeface="+mn-lt"/>
              <a:ea typeface="+mn-ea"/>
              <a:cs typeface="+mn-cs"/>
            </a:rPr>
            <a:t>	</a:t>
          </a:r>
        </a:p>
        <a:p>
          <a:r>
            <a:rPr lang="en-US" sz="1400" b="0" i="0" u="none" strike="noStrike">
              <a:solidFill>
                <a:schemeClr val="tx1"/>
              </a:solidFill>
              <a:effectLst/>
              <a:latin typeface="+mn-lt"/>
              <a:ea typeface="+mn-ea"/>
              <a:cs typeface="+mn-cs"/>
            </a:rPr>
            <a:t>	Select the desired economic evaluation criteria (live or carcass basis)</a:t>
          </a:r>
        </a:p>
        <a:p>
          <a:r>
            <a:rPr lang="en-US" sz="1400" b="0" i="0" u="none" strike="noStrike">
              <a:solidFill>
                <a:schemeClr val="tx1"/>
              </a:solidFill>
              <a:effectLst/>
              <a:latin typeface="+mn-lt"/>
              <a:ea typeface="+mn-ea"/>
              <a:cs typeface="+mn-cs"/>
            </a:rPr>
            <a:t>		If carcass basis is selected, update carcass price and the current carcass yield </a:t>
          </a:r>
        </a:p>
        <a:p>
          <a:r>
            <a:rPr lang="en-US" sz="1400" b="0" i="0" u="none" strike="noStrike">
              <a:solidFill>
                <a:schemeClr val="tx1"/>
              </a:solidFill>
              <a:effectLst/>
              <a:latin typeface="+mn-lt"/>
              <a:ea typeface="+mn-ea"/>
              <a:cs typeface="+mn-cs"/>
            </a:rPr>
            <a:t>		If live basis is selected, update live pig price</a:t>
          </a:r>
        </a:p>
        <a:p>
          <a:r>
            <a:rPr lang="en-US" sz="1400" b="0" i="0" u="none" strike="noStrike">
              <a:solidFill>
                <a:schemeClr val="tx1"/>
              </a:solidFill>
              <a:effectLst/>
              <a:latin typeface="+mn-lt"/>
              <a:ea typeface="+mn-ea"/>
              <a:cs typeface="+mn-cs"/>
            </a:rPr>
            <a:t>	Update the facility cost per pig per day	</a:t>
          </a:r>
        </a:p>
        <a:p>
          <a:r>
            <a:rPr lang="en-US" sz="1400" b="0" i="0" u="none" strike="noStrike">
              <a:solidFill>
                <a:schemeClr val="tx1"/>
              </a:solidFill>
              <a:effectLst/>
              <a:latin typeface="+mn-lt"/>
              <a:ea typeface="+mn-ea"/>
              <a:cs typeface="+mn-cs"/>
            </a:rPr>
            <a:t>	Select the desired number of dietary phases </a:t>
          </a:r>
        </a:p>
        <a:p>
          <a:endParaRPr lang="en-US" sz="1400" b="0" i="0" u="none" strike="noStrike">
            <a:solidFill>
              <a:schemeClr val="tx1"/>
            </a:solidFill>
            <a:effectLst/>
            <a:latin typeface="+mn-lt"/>
            <a:ea typeface="+mn-ea"/>
            <a:cs typeface="+mn-cs"/>
          </a:endParaRPr>
        </a:p>
        <a:p>
          <a:r>
            <a:rPr lang="en-US" sz="1400" b="0" i="0" u="none" strike="noStrike">
              <a:solidFill>
                <a:schemeClr val="tx1"/>
              </a:solidFill>
              <a:effectLst/>
              <a:latin typeface="+mn-lt"/>
              <a:ea typeface="+mn-ea"/>
              <a:cs typeface="+mn-cs"/>
            </a:rPr>
            <a:t>4. Enter your desired body weight ranges for each phase according to the selected number of grow-finish phases</a:t>
          </a:r>
          <a:r>
            <a:rPr lang="en-US" sz="1400"/>
            <a:t> </a:t>
          </a:r>
        </a:p>
        <a:p>
          <a:r>
            <a:rPr lang="en-US" sz="1400" b="0" i="0" u="none" strike="noStrike">
              <a:solidFill>
                <a:schemeClr val="tx1"/>
              </a:solidFill>
              <a:effectLst/>
              <a:latin typeface="+mn-lt"/>
              <a:ea typeface="+mn-ea"/>
              <a:cs typeface="+mn-cs"/>
            </a:rPr>
            <a:t>5. Enter your current dietary energy level for each dietary phase.</a:t>
          </a:r>
          <a:r>
            <a:rPr lang="en-US" sz="1400"/>
            <a:t> </a:t>
          </a:r>
        </a:p>
        <a:p>
          <a:r>
            <a:rPr lang="en-US" sz="1400" b="0" i="0" u="none" strike="noStrike">
              <a:solidFill>
                <a:schemeClr val="tx1"/>
              </a:solidFill>
              <a:effectLst/>
              <a:latin typeface="+mn-lt"/>
              <a:ea typeface="+mn-ea"/>
              <a:cs typeface="+mn-cs"/>
            </a:rPr>
            <a:t>6. Enter your current standardized total tract digestible phosphorus (STTD P, %) for each dietary phase along with the cost per ton</a:t>
          </a:r>
          <a:r>
            <a:rPr lang="en-US" sz="1400"/>
            <a:t> </a:t>
          </a:r>
        </a:p>
        <a:p>
          <a:r>
            <a:rPr lang="en-US" sz="1400" b="0" i="0" u="none" strike="noStrike">
              <a:solidFill>
                <a:schemeClr val="tx1"/>
              </a:solidFill>
              <a:effectLst/>
              <a:latin typeface="+mn-lt"/>
              <a:ea typeface="+mn-ea"/>
              <a:cs typeface="+mn-cs"/>
            </a:rPr>
            <a:t>7. The tool will automatically change the STTD P (%) for maximal growth based on the body weight range and dietary energy (purple cells)</a:t>
          </a:r>
          <a:r>
            <a:rPr lang="en-US" sz="1400"/>
            <a:t> </a:t>
          </a:r>
        </a:p>
        <a:p>
          <a:r>
            <a:rPr lang="en-US" sz="1400" b="0" i="0" u="none" strike="noStrike">
              <a:solidFill>
                <a:schemeClr val="tx1"/>
              </a:solidFill>
              <a:effectLst/>
              <a:latin typeface="+mn-lt"/>
              <a:ea typeface="+mn-ea"/>
              <a:cs typeface="+mn-cs"/>
            </a:rPr>
            <a:t>8. Formulate new diets to the STTD P requirement for maximal growth and enter the cost per ton</a:t>
          </a:r>
          <a:r>
            <a:rPr lang="en-US" sz="1400"/>
            <a:t> of the reformulated diets</a:t>
          </a:r>
        </a:p>
        <a:p>
          <a:endParaRPr lang="en-US" sz="1400"/>
        </a:p>
        <a:p>
          <a:r>
            <a:rPr lang="en-US" sz="1400" b="1"/>
            <a:t>Outputs:</a:t>
          </a:r>
        </a:p>
        <a:p>
          <a:r>
            <a:rPr lang="en-US" sz="1400" b="0" i="0" u="none" strike="noStrike">
              <a:solidFill>
                <a:schemeClr val="tx1"/>
              </a:solidFill>
              <a:effectLst/>
              <a:latin typeface="+mn-lt"/>
              <a:ea typeface="+mn-ea"/>
              <a:cs typeface="+mn-cs"/>
            </a:rPr>
            <a:t>9. The tool outputs the percentage difference in performance (ADG, feed efficiency, and carcass yield) for the current diets compared to the diets for maximum growth. Note that the STTD P for maximal growth is based on the ADG response. However, this level also meets 100% of the feed efficiency requirement. If the carcass yield entered is 76% or greater, we assume that they are based on carcasses with heads on and thus no impact of phosphorus on yield is considered. </a:t>
          </a:r>
        </a:p>
        <a:p>
          <a:r>
            <a:rPr lang="en-US" sz="1400" b="0" i="0" u="none" strike="noStrike">
              <a:solidFill>
                <a:schemeClr val="tx1"/>
              </a:solidFill>
              <a:effectLst/>
              <a:latin typeface="+mn-lt"/>
              <a:ea typeface="+mn-ea"/>
              <a:cs typeface="+mn-cs"/>
            </a:rPr>
            <a:t>10. Then, the tool shows the net profit differencce between the current diets and the maximal growth diets for both fixed weight and time basis  </a:t>
          </a:r>
        </a:p>
        <a:p>
          <a:r>
            <a:rPr lang="en-US" sz="1400" b="0" i="0" u="none" strike="noStrike">
              <a:solidFill>
                <a:schemeClr val="tx1"/>
              </a:solidFill>
              <a:effectLst/>
              <a:latin typeface="+mn-lt"/>
              <a:ea typeface="+mn-ea"/>
              <a:cs typeface="+mn-cs"/>
            </a:rPr>
            <a:t>	The net profit will be outputted either as income over feed cost (IOFC) or income over feed and facility 	costs (IOFFC)</a:t>
          </a:r>
        </a:p>
        <a:p>
          <a:endParaRPr lang="en-US" sz="1400" b="0" i="0" u="none" strike="noStrike">
            <a:solidFill>
              <a:schemeClr val="tx1"/>
            </a:solidFill>
            <a:effectLst/>
            <a:latin typeface="+mn-lt"/>
            <a:ea typeface="+mn-ea"/>
            <a:cs typeface="+mn-cs"/>
          </a:endParaRPr>
        </a:p>
        <a:p>
          <a:pPr algn="ctr"/>
          <a:r>
            <a:rPr lang="en-US" sz="1200" b="0" i="0" u="none" strike="noStrike">
              <a:solidFill>
                <a:schemeClr val="tx1"/>
              </a:solidFill>
              <a:effectLst/>
              <a:latin typeface="+mn-lt"/>
              <a:ea typeface="+mn-ea"/>
              <a:cs typeface="+mn-cs"/>
            </a:rPr>
            <a:t>*Background performance equations for STTD P are based on a commercial study with 1,134 PIC pigs (Vier et al., 2019; doi: </a:t>
          </a:r>
          <a:r>
            <a:rPr lang="en-US" sz="1100" b="0" i="0">
              <a:solidFill>
                <a:schemeClr val="tx1"/>
              </a:solidFill>
              <a:effectLst/>
              <a:latin typeface="+mn-lt"/>
              <a:ea typeface="+mn-ea"/>
              <a:cs typeface="+mn-cs"/>
            </a:rPr>
            <a:t>doi:https://doi.org/10.1093/jas/skz256 </a:t>
          </a:r>
          <a:r>
            <a:rPr lang="en-US" sz="1200" b="0" i="0" u="none" strike="noStrike">
              <a:solidFill>
                <a:schemeClr val="tx1"/>
              </a:solidFill>
              <a:effectLst/>
              <a:latin typeface="+mn-lt"/>
              <a:ea typeface="+mn-ea"/>
              <a:cs typeface="+mn-cs"/>
            </a:rPr>
            <a:t>). The energy value of ingrediets followed NRC (2012) nutrient loadings.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114300</xdr:colOff>
      <xdr:row>8</xdr:row>
      <xdr:rowOff>158750</xdr:rowOff>
    </xdr:from>
    <xdr:to>
      <xdr:col>5</xdr:col>
      <xdr:colOff>444500</xdr:colOff>
      <xdr:row>22</xdr:row>
      <xdr:rowOff>57150</xdr:rowOff>
    </xdr:to>
    <xdr:graphicFrame macro="">
      <xdr:nvGraphicFramePr>
        <xdr:cNvPr id="2" name="Chart 1">
          <a:extLst>
            <a:ext uri="{FF2B5EF4-FFF2-40B4-BE49-F238E27FC236}">
              <a16:creationId xmlns:a16="http://schemas.microsoft.com/office/drawing/2014/main" id="{C3AFE1BE-E9C0-9B4C-B50E-9D3EF83EEE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9</xdr:row>
      <xdr:rowOff>0</xdr:rowOff>
    </xdr:from>
    <xdr:to>
      <xdr:col>10</xdr:col>
      <xdr:colOff>878840</xdr:colOff>
      <xdr:row>22</xdr:row>
      <xdr:rowOff>101600</xdr:rowOff>
    </xdr:to>
    <xdr:graphicFrame macro="">
      <xdr:nvGraphicFramePr>
        <xdr:cNvPr id="5" name="Chart 4">
          <a:extLst>
            <a:ext uri="{FF2B5EF4-FFF2-40B4-BE49-F238E27FC236}">
              <a16:creationId xmlns:a16="http://schemas.microsoft.com/office/drawing/2014/main" id="{37C00C6B-4687-8643-BC3C-DF6A7FB163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222250</xdr:colOff>
      <xdr:row>8</xdr:row>
      <xdr:rowOff>190500</xdr:rowOff>
    </xdr:from>
    <xdr:to>
      <xdr:col>15</xdr:col>
      <xdr:colOff>139700</xdr:colOff>
      <xdr:row>32</xdr:row>
      <xdr:rowOff>76200</xdr:rowOff>
    </xdr:to>
    <xdr:graphicFrame macro="">
      <xdr:nvGraphicFramePr>
        <xdr:cNvPr id="2" name="Chart 1">
          <a:extLst>
            <a:ext uri="{FF2B5EF4-FFF2-40B4-BE49-F238E27FC236}">
              <a16:creationId xmlns:a16="http://schemas.microsoft.com/office/drawing/2014/main" id="{E8299737-3264-234B-BBF1-3EABFA1CBA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1056769</xdr:colOff>
      <xdr:row>2</xdr:row>
      <xdr:rowOff>26423</xdr:rowOff>
    </xdr:to>
    <xdr:pic>
      <xdr:nvPicPr>
        <xdr:cNvPr id="3" name="Picture 2">
          <a:extLst>
            <a:ext uri="{FF2B5EF4-FFF2-40B4-BE49-F238E27FC236}">
              <a16:creationId xmlns:a16="http://schemas.microsoft.com/office/drawing/2014/main" id="{646D6941-9B3F-C94C-8F73-86DF59443BA9}"/>
            </a:ext>
          </a:extLst>
        </xdr:cNvPr>
        <xdr:cNvPicPr>
          <a:picLocks noChangeAspect="1"/>
        </xdr:cNvPicPr>
      </xdr:nvPicPr>
      <xdr:blipFill>
        <a:blip xmlns:r="http://schemas.openxmlformats.org/officeDocument/2006/relationships" r:embed="rId1"/>
        <a:stretch>
          <a:fillRect/>
        </a:stretch>
      </xdr:blipFill>
      <xdr:spPr>
        <a:xfrm>
          <a:off x="200025" y="0"/>
          <a:ext cx="2247394" cy="1350398"/>
        </a:xfrm>
        <a:prstGeom prst="rect">
          <a:avLst/>
        </a:prstGeom>
      </xdr:spPr>
    </xdr:pic>
    <xdr:clientData/>
  </xdr:twoCellAnchor>
  <xdr:twoCellAnchor editAs="oneCell">
    <xdr:from>
      <xdr:col>9</xdr:col>
      <xdr:colOff>228600</xdr:colOff>
      <xdr:row>0</xdr:row>
      <xdr:rowOff>1</xdr:rowOff>
    </xdr:from>
    <xdr:to>
      <xdr:col>10</xdr:col>
      <xdr:colOff>5715</xdr:colOff>
      <xdr:row>2</xdr:row>
      <xdr:rowOff>10106</xdr:rowOff>
    </xdr:to>
    <xdr:pic>
      <xdr:nvPicPr>
        <xdr:cNvPr id="4" name="Picture 3">
          <a:extLst>
            <a:ext uri="{FF2B5EF4-FFF2-40B4-BE49-F238E27FC236}">
              <a16:creationId xmlns:a16="http://schemas.microsoft.com/office/drawing/2014/main" id="{6F570351-9360-3742-AAA2-6CBCFD80245F}"/>
            </a:ext>
          </a:extLst>
        </xdr:cNvPr>
        <xdr:cNvPicPr>
          <a:picLocks noChangeAspect="1"/>
        </xdr:cNvPicPr>
      </xdr:nvPicPr>
      <xdr:blipFill>
        <a:blip xmlns:r="http://schemas.openxmlformats.org/officeDocument/2006/relationships" r:embed="rId2"/>
        <a:stretch>
          <a:fillRect/>
        </a:stretch>
      </xdr:blipFill>
      <xdr:spPr>
        <a:xfrm>
          <a:off x="10334625" y="1"/>
          <a:ext cx="967740" cy="13340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219075</xdr:colOff>
      <xdr:row>0</xdr:row>
      <xdr:rowOff>0</xdr:rowOff>
    </xdr:from>
    <xdr:to>
      <xdr:col>9</xdr:col>
      <xdr:colOff>1186815</xdr:colOff>
      <xdr:row>2</xdr:row>
      <xdr:rowOff>10105</xdr:rowOff>
    </xdr:to>
    <xdr:pic>
      <xdr:nvPicPr>
        <xdr:cNvPr id="7" name="Picture 6">
          <a:extLst>
            <a:ext uri="{FF2B5EF4-FFF2-40B4-BE49-F238E27FC236}">
              <a16:creationId xmlns:a16="http://schemas.microsoft.com/office/drawing/2014/main" id="{466AA22C-3BDD-46CF-8430-752D188197D3}"/>
            </a:ext>
          </a:extLst>
        </xdr:cNvPr>
        <xdr:cNvPicPr>
          <a:picLocks noChangeAspect="1"/>
        </xdr:cNvPicPr>
      </xdr:nvPicPr>
      <xdr:blipFill>
        <a:blip xmlns:r="http://schemas.openxmlformats.org/officeDocument/2006/relationships" r:embed="rId1"/>
        <a:stretch>
          <a:fillRect/>
        </a:stretch>
      </xdr:blipFill>
      <xdr:spPr>
        <a:xfrm>
          <a:off x="10325100" y="0"/>
          <a:ext cx="967740" cy="1334080"/>
        </a:xfrm>
        <a:prstGeom prst="rect">
          <a:avLst/>
        </a:prstGeom>
      </xdr:spPr>
    </xdr:pic>
    <xdr:clientData/>
  </xdr:twoCellAnchor>
  <xdr:twoCellAnchor editAs="oneCell">
    <xdr:from>
      <xdr:col>1</xdr:col>
      <xdr:colOff>0</xdr:colOff>
      <xdr:row>0</xdr:row>
      <xdr:rowOff>0</xdr:rowOff>
    </xdr:from>
    <xdr:to>
      <xdr:col>2</xdr:col>
      <xdr:colOff>1056769</xdr:colOff>
      <xdr:row>2</xdr:row>
      <xdr:rowOff>26423</xdr:rowOff>
    </xdr:to>
    <xdr:pic>
      <xdr:nvPicPr>
        <xdr:cNvPr id="8" name="Picture 7">
          <a:extLst>
            <a:ext uri="{FF2B5EF4-FFF2-40B4-BE49-F238E27FC236}">
              <a16:creationId xmlns:a16="http://schemas.microsoft.com/office/drawing/2014/main" id="{5EBC7F37-808B-44FD-A95D-CA277020B69C}"/>
            </a:ext>
          </a:extLst>
        </xdr:cNvPr>
        <xdr:cNvPicPr>
          <a:picLocks noChangeAspect="1"/>
        </xdr:cNvPicPr>
      </xdr:nvPicPr>
      <xdr:blipFill>
        <a:blip xmlns:r="http://schemas.openxmlformats.org/officeDocument/2006/relationships" r:embed="rId2"/>
        <a:stretch>
          <a:fillRect/>
        </a:stretch>
      </xdr:blipFill>
      <xdr:spPr>
        <a:xfrm>
          <a:off x="200025" y="0"/>
          <a:ext cx="2247394" cy="13503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nsplc-my.sharepoint.com/C:/Users/Arkin/Desktop/New%20Horizon%20Trial/Drug%20Cost%20Calculator%20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d drug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Microsoft Office User" id="{E7FFACB8-8E38-384B-984E-0F4C5A5312D2}" userId="Microsoft Office User"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4" dT="2019-02-08T02:00:49.34" personId="{E7FFACB8-8E38-384B-984E-0F4C5A5312D2}" id="{0C994C5E-877C-9242-BED3-13D4C529861D}">
    <text>130% of NRC</text>
  </threadedComment>
  <threadedComment ref="F5" dT="2019-02-08T02:01:02.45" personId="{E7FFACB8-8E38-384B-984E-0F4C5A5312D2}" id="{815B5D1B-8387-0044-B93B-CA72BAB376AC}">
    <text>122% of NRC</text>
  </threadedComment>
  <threadedComment ref="F6" dT="2019-02-08T02:01:11.03" personId="{E7FFACB8-8E38-384B-984E-0F4C5A5312D2}" id="{CD01D79B-E65E-504B-A0F6-EF2EDF04FFDA}">
    <text>122% of NRC</text>
  </threadedComment>
  <threadedComment ref="F7" dT="2019-02-08T02:01:21.21" personId="{E7FFACB8-8E38-384B-984E-0F4C5A5312D2}" id="{C7855A2D-6AAA-194D-A78F-4487020A4B23}">
    <text>122% of NRC</text>
  </threadedComment>
  <threadedComment ref="F8" dT="2019-02-08T02:01:34.23" personId="{E7FFACB8-8E38-384B-984E-0F4C5A5312D2}" id="{36FA5F58-5763-C949-A8A3-82296772F339}">
    <text>122% of NRC</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80362-0ECF-0740-AB65-8C116D1AE7DA}">
  <sheetPr codeName="Sheet1"/>
  <dimension ref="A1:O27"/>
  <sheetViews>
    <sheetView tabSelected="1" zoomScale="140" zoomScaleNormal="140" workbookViewId="0">
      <selection activeCell="L19" sqref="L19"/>
    </sheetView>
  </sheetViews>
  <sheetFormatPr defaultColWidth="10.625" defaultRowHeight="15.75"/>
  <cols>
    <col min="1" max="2" width="10.625" style="58"/>
    <col min="3" max="10" width="11.625" style="58" customWidth="1"/>
    <col min="11" max="11" width="8.625" style="58" customWidth="1"/>
    <col min="12" max="16384" width="10.625" style="58"/>
  </cols>
  <sheetData>
    <row r="1" spans="1:15" ht="20.25">
      <c r="A1" s="263" t="s">
        <v>230</v>
      </c>
      <c r="B1" s="263"/>
      <c r="C1" s="263"/>
      <c r="D1" s="263"/>
      <c r="E1" s="263"/>
      <c r="F1" s="263"/>
      <c r="G1" s="263"/>
      <c r="H1" s="263"/>
      <c r="I1" s="263"/>
      <c r="J1" s="263"/>
      <c r="K1" s="263"/>
      <c r="L1" s="98"/>
      <c r="M1" s="98"/>
      <c r="N1" s="59"/>
      <c r="O1" s="59"/>
    </row>
    <row r="2" spans="1:15" ht="71.099999999999994" customHeight="1">
      <c r="A2" s="263"/>
      <c r="B2" s="263"/>
      <c r="C2" s="263"/>
      <c r="D2" s="263"/>
      <c r="E2" s="263"/>
      <c r="F2" s="263"/>
      <c r="G2" s="263"/>
      <c r="H2" s="263"/>
      <c r="I2" s="263"/>
      <c r="J2" s="263"/>
      <c r="K2" s="263"/>
      <c r="L2" s="59"/>
      <c r="M2" s="59"/>
      <c r="N2" s="59"/>
      <c r="O2" s="59"/>
    </row>
    <row r="3" spans="1:15">
      <c r="A3" s="59"/>
      <c r="B3" s="59"/>
      <c r="C3" s="59"/>
      <c r="D3" s="59"/>
      <c r="E3" s="59"/>
      <c r="F3" s="59"/>
      <c r="G3" s="59"/>
      <c r="H3" s="59"/>
      <c r="I3" s="59"/>
      <c r="J3" s="59"/>
      <c r="K3" s="59"/>
      <c r="L3" s="59"/>
      <c r="M3" s="59"/>
      <c r="N3" s="59"/>
      <c r="O3" s="59"/>
    </row>
    <row r="4" spans="1:15">
      <c r="A4" s="59"/>
      <c r="B4" s="59"/>
      <c r="C4" s="59"/>
      <c r="D4" s="59"/>
      <c r="E4" s="59"/>
      <c r="F4" s="59"/>
      <c r="G4" s="59"/>
      <c r="H4" s="59"/>
      <c r="I4" s="59"/>
      <c r="J4" s="59"/>
      <c r="K4" s="59"/>
      <c r="L4" s="59"/>
      <c r="M4" s="59"/>
      <c r="N4" s="59"/>
      <c r="O4" s="59"/>
    </row>
    <row r="5" spans="1:15">
      <c r="A5" s="99"/>
      <c r="B5" s="59"/>
      <c r="C5" s="59"/>
      <c r="D5" s="59"/>
      <c r="E5" s="59"/>
      <c r="F5" s="59"/>
      <c r="G5" s="59"/>
      <c r="H5" s="59"/>
      <c r="I5" s="59"/>
      <c r="J5" s="59"/>
      <c r="K5" s="59"/>
      <c r="L5" s="59"/>
      <c r="M5" s="59"/>
      <c r="N5" s="59"/>
      <c r="O5" s="59"/>
    </row>
    <row r="6" spans="1:15" ht="21">
      <c r="A6" s="59"/>
      <c r="B6" s="59"/>
      <c r="C6" s="59"/>
      <c r="D6" s="59"/>
      <c r="E6" s="59"/>
      <c r="F6" s="59"/>
      <c r="G6" s="59"/>
      <c r="H6" s="59"/>
      <c r="I6" s="59"/>
      <c r="J6" s="262"/>
      <c r="K6" s="262"/>
      <c r="L6" s="262"/>
      <c r="M6" s="100"/>
      <c r="N6" s="101"/>
      <c r="O6" s="59"/>
    </row>
    <row r="7" spans="1:15" ht="21">
      <c r="A7" s="59"/>
      <c r="B7" s="59"/>
      <c r="C7" s="59"/>
      <c r="D7" s="59"/>
      <c r="E7" s="59"/>
      <c r="F7" s="59"/>
      <c r="G7" s="59"/>
      <c r="H7" s="59"/>
      <c r="I7" s="59"/>
      <c r="J7" s="262"/>
      <c r="K7" s="262"/>
      <c r="L7" s="262"/>
      <c r="M7" s="102"/>
      <c r="N7" s="101"/>
      <c r="O7" s="59"/>
    </row>
    <row r="8" spans="1:15" ht="21">
      <c r="A8" s="59"/>
      <c r="B8" s="59"/>
      <c r="C8" s="59"/>
      <c r="D8" s="59"/>
      <c r="E8" s="59"/>
      <c r="F8" s="59"/>
      <c r="G8" s="59"/>
      <c r="H8" s="59"/>
      <c r="I8" s="59"/>
      <c r="J8" s="262"/>
      <c r="K8" s="262"/>
      <c r="L8" s="262"/>
      <c r="M8" s="100"/>
      <c r="N8" s="101"/>
      <c r="O8" s="59"/>
    </row>
    <row r="9" spans="1:15" ht="21">
      <c r="A9" s="59"/>
      <c r="B9" s="59"/>
      <c r="C9" s="59"/>
      <c r="D9" s="59"/>
      <c r="E9" s="59"/>
      <c r="F9" s="59"/>
      <c r="G9" s="59"/>
      <c r="H9" s="59"/>
      <c r="I9" s="59"/>
      <c r="J9" s="262"/>
      <c r="K9" s="262"/>
      <c r="L9" s="262"/>
      <c r="M9" s="103"/>
      <c r="N9" s="101"/>
      <c r="O9" s="59"/>
    </row>
    <row r="10" spans="1:15" ht="21">
      <c r="A10" s="59"/>
      <c r="B10" s="59"/>
      <c r="C10" s="59"/>
      <c r="D10" s="59"/>
      <c r="E10" s="59"/>
      <c r="F10" s="59"/>
      <c r="G10" s="59"/>
      <c r="H10" s="59"/>
      <c r="I10" s="59"/>
      <c r="J10" s="262"/>
      <c r="K10" s="262"/>
      <c r="L10" s="262"/>
      <c r="M10" s="104"/>
      <c r="N10" s="101"/>
      <c r="O10" s="59"/>
    </row>
    <row r="11" spans="1:15" ht="21">
      <c r="A11" s="59"/>
      <c r="B11" s="59"/>
      <c r="C11" s="59"/>
      <c r="D11" s="59"/>
      <c r="E11" s="59"/>
      <c r="F11" s="59"/>
      <c r="G11" s="59"/>
      <c r="H11" s="59"/>
      <c r="I11" s="59"/>
      <c r="J11" s="262"/>
      <c r="K11" s="262"/>
      <c r="L11" s="262"/>
      <c r="M11" s="103"/>
      <c r="N11" s="101"/>
      <c r="O11" s="59"/>
    </row>
    <row r="12" spans="1:15">
      <c r="A12" s="59"/>
      <c r="B12" s="59"/>
      <c r="C12" s="59"/>
      <c r="D12" s="59"/>
      <c r="E12" s="59"/>
      <c r="F12" s="59"/>
      <c r="G12" s="59"/>
      <c r="H12" s="59"/>
      <c r="I12" s="59"/>
      <c r="J12" s="101"/>
      <c r="K12" s="101"/>
      <c r="L12" s="101"/>
      <c r="M12" s="101"/>
      <c r="N12" s="101"/>
      <c r="O12" s="59"/>
    </row>
    <row r="13" spans="1:15">
      <c r="A13" s="59"/>
      <c r="B13" s="59"/>
      <c r="C13" s="59"/>
      <c r="D13" s="59"/>
      <c r="E13" s="59"/>
      <c r="F13" s="59"/>
      <c r="G13" s="59"/>
      <c r="H13" s="59"/>
      <c r="I13" s="59"/>
      <c r="J13" s="101"/>
      <c r="K13" s="101"/>
      <c r="L13" s="101"/>
      <c r="M13" s="101"/>
      <c r="N13" s="101"/>
      <c r="O13" s="59"/>
    </row>
    <row r="14" spans="1:15">
      <c r="A14" s="59"/>
      <c r="B14" s="59"/>
      <c r="C14" s="59"/>
      <c r="D14" s="59"/>
      <c r="E14" s="59"/>
      <c r="F14" s="59"/>
      <c r="G14" s="59"/>
      <c r="H14" s="59"/>
      <c r="I14" s="59"/>
      <c r="J14" s="59"/>
      <c r="K14" s="59"/>
      <c r="L14" s="59"/>
      <c r="M14" s="59"/>
      <c r="N14" s="59"/>
      <c r="O14" s="59"/>
    </row>
    <row r="15" spans="1:15">
      <c r="A15" s="59"/>
      <c r="B15" s="59"/>
      <c r="C15" s="59"/>
      <c r="D15" s="59"/>
      <c r="E15" s="59"/>
      <c r="F15" s="59"/>
      <c r="G15" s="59"/>
      <c r="H15" s="59"/>
      <c r="I15" s="59"/>
      <c r="J15" s="59"/>
      <c r="K15" s="59"/>
      <c r="L15" s="59"/>
      <c r="M15" s="59"/>
      <c r="N15" s="59"/>
      <c r="O15" s="59"/>
    </row>
    <row r="16" spans="1:15">
      <c r="A16" s="59"/>
      <c r="B16" s="59"/>
      <c r="C16" s="59"/>
      <c r="D16" s="59"/>
      <c r="E16" s="59"/>
      <c r="F16" s="59"/>
      <c r="G16" s="59"/>
      <c r="H16" s="59"/>
      <c r="I16" s="59"/>
      <c r="J16" s="59"/>
      <c r="K16" s="59"/>
      <c r="L16" s="59"/>
      <c r="M16" s="59"/>
      <c r="N16" s="59"/>
      <c r="O16" s="59"/>
    </row>
    <row r="17" spans="1:15">
      <c r="A17" s="59"/>
      <c r="B17" s="59"/>
      <c r="C17" s="59"/>
      <c r="D17" s="59"/>
      <c r="E17" s="59"/>
      <c r="F17" s="59"/>
      <c r="G17" s="59"/>
      <c r="H17" s="59"/>
      <c r="I17" s="59"/>
      <c r="J17" s="59"/>
      <c r="K17" s="59"/>
      <c r="L17" s="59"/>
      <c r="M17" s="59"/>
      <c r="N17" s="59"/>
      <c r="O17" s="59"/>
    </row>
    <row r="18" spans="1:15">
      <c r="A18" s="59"/>
      <c r="B18" s="59"/>
      <c r="C18" s="59"/>
      <c r="D18" s="59"/>
      <c r="E18" s="59"/>
      <c r="F18" s="59"/>
      <c r="G18" s="59"/>
      <c r="H18" s="59"/>
      <c r="I18" s="59"/>
      <c r="J18" s="59"/>
      <c r="K18" s="59"/>
      <c r="L18" s="59"/>
      <c r="M18" s="59"/>
      <c r="N18" s="59"/>
      <c r="O18" s="59"/>
    </row>
    <row r="19" spans="1:15">
      <c r="A19" s="59"/>
      <c r="B19" s="59"/>
      <c r="C19" s="59"/>
      <c r="D19" s="59"/>
      <c r="E19" s="59"/>
      <c r="F19" s="59"/>
      <c r="G19" s="59"/>
      <c r="H19" s="59"/>
      <c r="I19" s="59"/>
      <c r="J19" s="59"/>
      <c r="K19" s="59"/>
      <c r="L19" s="59"/>
      <c r="M19" s="59"/>
      <c r="N19" s="59"/>
      <c r="O19" s="59"/>
    </row>
    <row r="20" spans="1:15">
      <c r="A20" s="59"/>
      <c r="B20" s="59"/>
      <c r="C20" s="59"/>
      <c r="D20" s="59"/>
      <c r="E20" s="59"/>
      <c r="F20" s="59"/>
      <c r="G20" s="59"/>
      <c r="H20" s="59"/>
      <c r="I20" s="59"/>
      <c r="J20" s="59"/>
      <c r="K20" s="59"/>
      <c r="L20" s="59"/>
      <c r="M20" s="59"/>
      <c r="N20" s="59"/>
      <c r="O20" s="59"/>
    </row>
    <row r="21" spans="1:15">
      <c r="A21" s="59"/>
      <c r="B21" s="59"/>
      <c r="C21" s="59"/>
      <c r="D21" s="59"/>
      <c r="E21" s="59"/>
      <c r="F21" s="59"/>
      <c r="G21" s="59"/>
      <c r="H21" s="59"/>
      <c r="I21" s="59"/>
      <c r="J21" s="59"/>
      <c r="K21" s="59"/>
      <c r="L21" s="59"/>
      <c r="M21" s="59"/>
      <c r="N21" s="59"/>
      <c r="O21" s="59"/>
    </row>
    <row r="22" spans="1:15">
      <c r="A22" s="59"/>
      <c r="B22" s="59"/>
      <c r="C22" s="59"/>
      <c r="D22" s="59"/>
      <c r="E22" s="59"/>
      <c r="F22" s="59"/>
      <c r="G22" s="59"/>
      <c r="H22" s="59"/>
      <c r="I22" s="59"/>
      <c r="J22" s="59"/>
      <c r="K22" s="59"/>
      <c r="L22" s="59"/>
      <c r="M22" s="59"/>
      <c r="N22" s="59"/>
      <c r="O22" s="59"/>
    </row>
    <row r="23" spans="1:15">
      <c r="A23" s="59"/>
      <c r="B23" s="59"/>
      <c r="C23" s="59"/>
      <c r="D23" s="59"/>
      <c r="E23" s="59"/>
      <c r="F23" s="59"/>
      <c r="G23" s="59"/>
      <c r="H23" s="59"/>
      <c r="I23" s="59"/>
      <c r="J23" s="59"/>
      <c r="K23" s="59"/>
      <c r="L23" s="59"/>
      <c r="M23" s="59"/>
      <c r="N23" s="59"/>
      <c r="O23" s="59"/>
    </row>
    <row r="24" spans="1:15">
      <c r="A24" s="59"/>
      <c r="B24" s="59"/>
      <c r="C24" s="59"/>
      <c r="D24" s="59"/>
      <c r="E24" s="59"/>
      <c r="F24" s="59"/>
      <c r="G24" s="59"/>
      <c r="H24" s="59"/>
      <c r="I24" s="59"/>
      <c r="J24" s="59"/>
      <c r="K24" s="59"/>
      <c r="L24" s="59"/>
      <c r="M24" s="59"/>
      <c r="N24" s="59"/>
      <c r="O24" s="59"/>
    </row>
    <row r="25" spans="1:15">
      <c r="A25" s="59"/>
      <c r="B25" s="59"/>
      <c r="C25" s="59"/>
      <c r="D25" s="59"/>
      <c r="E25" s="59"/>
      <c r="F25" s="59"/>
      <c r="G25" s="59"/>
      <c r="H25" s="59"/>
      <c r="I25" s="59"/>
      <c r="J25" s="59"/>
      <c r="K25" s="59"/>
      <c r="L25" s="59"/>
      <c r="M25" s="59"/>
      <c r="N25" s="59"/>
      <c r="O25" s="59"/>
    </row>
    <row r="26" spans="1:15">
      <c r="A26" s="59"/>
      <c r="B26" s="59"/>
      <c r="C26" s="59"/>
      <c r="D26" s="59"/>
      <c r="E26" s="59"/>
      <c r="F26" s="59"/>
      <c r="G26" s="59"/>
      <c r="H26" s="59"/>
      <c r="I26" s="59"/>
      <c r="J26" s="59"/>
      <c r="K26" s="59"/>
      <c r="L26" s="59"/>
      <c r="M26" s="59"/>
      <c r="N26" s="59"/>
      <c r="O26" s="59"/>
    </row>
    <row r="27" spans="1:15">
      <c r="A27" s="59"/>
      <c r="B27" s="59"/>
      <c r="C27" s="59"/>
      <c r="D27" s="59"/>
      <c r="E27" s="59"/>
      <c r="F27" s="59"/>
      <c r="G27" s="59"/>
      <c r="H27" s="59"/>
      <c r="I27" s="59"/>
      <c r="J27" s="59"/>
      <c r="K27" s="59"/>
      <c r="L27" s="59"/>
      <c r="M27" s="59"/>
      <c r="N27" s="59"/>
      <c r="O27" s="59"/>
    </row>
  </sheetData>
  <sheetProtection algorithmName="SHA-512" hashValue="HSAEJ8i9vnKkMPaiEcyS/zpvnLeeYsSZUATh7aUTwYu4gcBCxPzaKjFRTvasJpBpk2qwWk3CuLLuL6UWC/KMqw==" saltValue="f4YfjG9PCC3VlkQwqSDIIw==" spinCount="100000" sheet="1" objects="1" scenarios="1"/>
  <mergeCells count="7">
    <mergeCell ref="J10:L10"/>
    <mergeCell ref="J11:L11"/>
    <mergeCell ref="A1:K2"/>
    <mergeCell ref="J6:L6"/>
    <mergeCell ref="J7:L7"/>
    <mergeCell ref="J8:L8"/>
    <mergeCell ref="J9:L9"/>
  </mergeCells>
  <dataValidations count="4">
    <dataValidation type="list" allowBlank="1" showInputMessage="1" showErrorMessage="1" sqref="M9" xr:uid="{62433EA3-41A8-6948-B685-5543A391ED7A}">
      <formula1>$T$8:$T$12</formula1>
    </dataValidation>
    <dataValidation type="list" allowBlank="1" showInputMessage="1" showErrorMessage="1" sqref="M11" xr:uid="{5497B9B5-F60C-8040-8ED5-FFC299F11575}">
      <formula1>$S$9:$S$10</formula1>
    </dataValidation>
    <dataValidation type="decimal" errorStyle="warning" allowBlank="1" showInputMessage="1" showErrorMessage="1" error="Please double check your entry" sqref="M8" xr:uid="{47D6BA78-8710-AE42-9C43-C665BF881233}">
      <formula1>0</formula1>
      <formula2>0.3</formula2>
    </dataValidation>
    <dataValidation type="decimal" errorStyle="warning" allowBlank="1" showInputMessage="1" showErrorMessage="1" error="Please double check your entry" sqref="M6:M7" xr:uid="{4095F8AB-0596-3F46-89BD-5AFEF93C6357}">
      <formula1>0.1</formula1>
      <formula2>5</formula2>
    </dataValidation>
  </dataValidation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DDB62-B925-F54C-A878-AFD5F5DE2385}">
  <sheetPr codeName="Sheet10">
    <tabColor rgb="FFFF0000"/>
  </sheetPr>
  <dimension ref="A1:P110"/>
  <sheetViews>
    <sheetView topLeftCell="A13" workbookViewId="0">
      <selection activeCell="G36" sqref="G36"/>
    </sheetView>
  </sheetViews>
  <sheetFormatPr defaultColWidth="10.625" defaultRowHeight="15.75"/>
  <cols>
    <col min="1" max="1" width="71.125" bestFit="1" customWidth="1"/>
    <col min="2" max="2" width="11.125" customWidth="1"/>
    <col min="3" max="6" width="13.5" bestFit="1" customWidth="1"/>
    <col min="7" max="7" width="11.625" customWidth="1"/>
    <col min="10" max="10" width="32.125" customWidth="1"/>
    <col min="11" max="11" width="13.625" bestFit="1" customWidth="1"/>
    <col min="12" max="12" width="13.625" customWidth="1"/>
  </cols>
  <sheetData>
    <row r="1" spans="1:16" ht="21">
      <c r="A1" s="312" t="s">
        <v>27</v>
      </c>
      <c r="B1" s="312"/>
      <c r="C1" s="312"/>
      <c r="D1" s="312"/>
      <c r="E1" s="312"/>
      <c r="F1" s="312"/>
      <c r="G1" s="312"/>
      <c r="H1" s="312"/>
      <c r="I1" s="312"/>
      <c r="J1" s="312"/>
      <c r="K1" s="312"/>
      <c r="L1" s="312"/>
      <c r="M1" s="312"/>
      <c r="N1" s="312"/>
      <c r="O1" s="312"/>
    </row>
    <row r="2" spans="1:16">
      <c r="A2" s="313" t="s">
        <v>28</v>
      </c>
      <c r="B2" s="315" t="s">
        <v>29</v>
      </c>
      <c r="C2" s="315"/>
      <c r="D2" s="315"/>
      <c r="E2" s="315"/>
      <c r="F2" s="315"/>
      <c r="G2" s="315"/>
      <c r="H2" s="2"/>
      <c r="I2" s="2"/>
      <c r="J2" s="315" t="s">
        <v>30</v>
      </c>
      <c r="K2" s="315"/>
      <c r="L2" s="82"/>
      <c r="M2" s="2"/>
      <c r="N2" s="2"/>
      <c r="O2" s="2"/>
    </row>
    <row r="3" spans="1:16">
      <c r="A3" s="313"/>
      <c r="B3" s="315"/>
      <c r="C3" s="315"/>
      <c r="D3" s="315"/>
      <c r="E3" s="315"/>
      <c r="F3" s="315"/>
      <c r="G3" s="315"/>
      <c r="H3" s="2"/>
      <c r="I3" s="2"/>
      <c r="J3" s="315"/>
      <c r="K3" s="315"/>
      <c r="L3" s="82"/>
      <c r="M3" s="2"/>
      <c r="N3" s="2"/>
      <c r="O3" s="2"/>
    </row>
    <row r="4" spans="1:16">
      <c r="A4" s="313"/>
      <c r="B4" s="77">
        <v>1</v>
      </c>
      <c r="C4" s="77">
        <v>2</v>
      </c>
      <c r="D4" s="77">
        <v>3</v>
      </c>
      <c r="E4" s="77">
        <v>4</v>
      </c>
      <c r="F4" s="77">
        <v>5</v>
      </c>
      <c r="G4" s="77">
        <v>6</v>
      </c>
      <c r="H4" s="2"/>
      <c r="I4" s="2"/>
      <c r="J4" s="2" t="s">
        <v>28</v>
      </c>
      <c r="K4" s="2" t="s">
        <v>31</v>
      </c>
      <c r="L4" s="2">
        <v>2</v>
      </c>
      <c r="M4" s="2">
        <v>3</v>
      </c>
      <c r="N4" s="2">
        <v>4</v>
      </c>
      <c r="O4" s="2">
        <v>5</v>
      </c>
      <c r="P4" s="2">
        <v>6</v>
      </c>
    </row>
    <row r="5" spans="1:16">
      <c r="A5" t="s">
        <v>76</v>
      </c>
      <c r="B5" s="3">
        <f>'Finisher Model - ME Imperial'!C15</f>
        <v>50</v>
      </c>
      <c r="C5" s="3">
        <f>'Finisher Model - ME Imperial'!C16</f>
        <v>90</v>
      </c>
      <c r="D5" s="3">
        <f>'Finisher Model - ME Imperial'!C17</f>
        <v>130</v>
      </c>
      <c r="E5" s="3">
        <f>'Finisher Model - ME Imperial'!C18</f>
        <v>180</v>
      </c>
      <c r="F5" s="3">
        <f>'Finisher Model - ME Imperial'!C19</f>
        <v>230</v>
      </c>
      <c r="G5" s="3" t="str">
        <f>'Finisher Model - ME Imperial'!C20</f>
        <v/>
      </c>
      <c r="J5" s="122" t="s">
        <v>53</v>
      </c>
    </row>
    <row r="6" spans="1:16">
      <c r="A6" t="s">
        <v>77</v>
      </c>
      <c r="B6" s="3">
        <f>'Finisher Model - ME Imperial'!D15</f>
        <v>90</v>
      </c>
      <c r="C6" s="3">
        <f>'Finisher Model - ME Imperial'!D16</f>
        <v>130</v>
      </c>
      <c r="D6" s="3">
        <f>'Finisher Model - ME Imperial'!D17</f>
        <v>180</v>
      </c>
      <c r="E6" s="3">
        <f>'Finisher Model - ME Imperial'!D18</f>
        <v>230</v>
      </c>
      <c r="F6" s="3">
        <f>'Finisher Model - ME Imperial'!D19</f>
        <v>285</v>
      </c>
      <c r="G6" s="3">
        <f>'Finisher Model - ME Imperial'!D20</f>
        <v>0</v>
      </c>
      <c r="J6" t="s">
        <v>42</v>
      </c>
      <c r="K6" s="257">
        <f>IF('Finisher Model - ME Imperial'!$E$11=2,L6,IF('Finisher Model - ME Imperial'!$E$11=3,M6,IF('Finisher Model - ME Imperial'!$E$11=4,N6,IF('Finisher Model - ME Imperial'!$E$11=5,O6,IF('Finisher Model - ME Imperial'!$E$11=6,P6,"")))))</f>
        <v>2.1528568107077826</v>
      </c>
      <c r="L6">
        <f>((SUM($B$22:$C$22)/SUM(B16:C16)))</f>
        <v>2.1528686947358828</v>
      </c>
      <c r="M6">
        <f>((SUM($B$22:$D$22)/SUM(B16:D16)))</f>
        <v>2.1527965358803649</v>
      </c>
      <c r="N6">
        <f>((SUM($B$22:$E$22)/SUM(B16:E16)))</f>
        <v>2.1527081692606385</v>
      </c>
      <c r="O6">
        <f>((SUM($B$22:$F$22)/SUM(B16:F16)))</f>
        <v>2.1528568107077826</v>
      </c>
      <c r="P6" t="e">
        <f>((SUM($B$22:$G$22)/SUM(B16:G16)))</f>
        <v>#VALUE!</v>
      </c>
    </row>
    <row r="7" spans="1:16">
      <c r="A7" t="s">
        <v>78</v>
      </c>
      <c r="B7" s="3">
        <f>B6-B5</f>
        <v>40</v>
      </c>
      <c r="C7" s="3">
        <f t="shared" ref="C7:G7" si="0">C6-C5</f>
        <v>40</v>
      </c>
      <c r="D7" s="3">
        <f t="shared" si="0"/>
        <v>50</v>
      </c>
      <c r="E7" s="3">
        <f t="shared" si="0"/>
        <v>50</v>
      </c>
      <c r="F7" s="3">
        <f t="shared" si="0"/>
        <v>55</v>
      </c>
      <c r="G7" s="3" t="e">
        <f t="shared" si="0"/>
        <v>#VALUE!</v>
      </c>
      <c r="J7" t="s">
        <v>43</v>
      </c>
      <c r="K7" s="257">
        <f>IF('Finisher Model - ME Imperial'!$E$11=2,L7,IF('Finisher Model - ME Imperial'!$E$11=3,M7,IF('Finisher Model - ME Imperial'!$E$11=4,N7,IF('Finisher Model - ME Imperial'!$E$11=5,O7,IF('Finisher Model - ME Imperial'!$E$11=6,P7,"")))))</f>
        <v>2.4898373196648329</v>
      </c>
      <c r="L7">
        <f>SUM($B$18:$C$18)/SUM($B$22:$C$22)</f>
        <v>1.9368184086428843</v>
      </c>
      <c r="M7">
        <f>SUM($B$18:$D$18)/SUM($B$22:$D$22)</f>
        <v>2.1152116057467385</v>
      </c>
      <c r="N7">
        <f>SUM($B$18:$E$18)/SUM($B$22:$E$22)</f>
        <v>2.2936048028505938</v>
      </c>
      <c r="O7">
        <f>SUM($B$18:$F$18)/SUM($B$22:$F$22)</f>
        <v>2.4898373196648329</v>
      </c>
      <c r="P7" t="e">
        <f>SUM($B$18:$G$18)/SUM($B$22:$G$22)</f>
        <v>#VALUE!</v>
      </c>
    </row>
    <row r="8" spans="1:16">
      <c r="A8" t="s">
        <v>32</v>
      </c>
      <c r="B8" s="4">
        <f>'Finisher Model - ME Imperial'!H15</f>
        <v>3306.93</v>
      </c>
      <c r="C8" s="4">
        <f>'Finisher Model - ME Imperial'!H16</f>
        <v>3306.93</v>
      </c>
      <c r="D8" s="4">
        <f>'Finisher Model - ME Imperial'!H17</f>
        <v>3315.7484799999997</v>
      </c>
      <c r="E8" s="4">
        <f>'Finisher Model - ME Imperial'!H18</f>
        <v>3320.1577199999997</v>
      </c>
      <c r="F8" s="4">
        <f>'Finisher Model - ME Imperial'!H19</f>
        <v>3324.5669599999997</v>
      </c>
      <c r="G8" s="4">
        <f>'Finisher Model - ME Imperial'!H20</f>
        <v>0</v>
      </c>
      <c r="J8" t="s">
        <v>44</v>
      </c>
      <c r="K8" s="257">
        <f>IF('Finisher Model - ME Imperial'!$E$11=2,L8,IF('Finisher Model - ME Imperial'!$E$11=3,M8,IF('Finisher Model - ME Imperial'!$E$11=4,N8,IF('Finisher Model - ME Imperial'!$E$11=5,O8,IF('Finisher Model - ME Imperial'!$E$11=6,P8,"")))))</f>
        <v>5.3602632311948462</v>
      </c>
      <c r="L8">
        <f>SUM(B18:C18)/SUM(B16:C16)</f>
        <v>4.1697157193554357</v>
      </c>
      <c r="M8">
        <f>SUM(B18:D18)/SUM(B16:D16)</f>
        <v>4.5536202175055225</v>
      </c>
      <c r="N8">
        <f>SUM(B18:E18)/SUM(B16:E16)</f>
        <v>4.9374617961519087</v>
      </c>
      <c r="O8">
        <f>SUM(B18:F18)/SUM(B16:F16)</f>
        <v>5.3602632311948462</v>
      </c>
      <c r="P8" t="e">
        <f>SUM(B18:G18)/SUM(B16:G16)</f>
        <v>#VALUE!</v>
      </c>
    </row>
    <row r="9" spans="1:16">
      <c r="A9" t="s">
        <v>33</v>
      </c>
      <c r="B9" s="5">
        <f>'Finisher Model - ME Imperial'!J15</f>
        <v>279.72000000000003</v>
      </c>
      <c r="C9" s="5">
        <f>'Finisher Model - ME Imperial'!J16</f>
        <v>263.02</v>
      </c>
      <c r="D9" s="5">
        <f>'Finisher Model - ME Imperial'!J17</f>
        <v>249.4</v>
      </c>
      <c r="E9" s="5">
        <f>'Finisher Model - ME Imperial'!J18</f>
        <v>238.86</v>
      </c>
      <c r="F9" s="5">
        <f>'Finisher Model - ME Imperial'!J19</f>
        <v>232.35</v>
      </c>
      <c r="G9" s="5">
        <f>'Finisher Model - ME Imperial'!J20</f>
        <v>0</v>
      </c>
      <c r="J9" s="17" t="s">
        <v>45</v>
      </c>
      <c r="K9" s="123">
        <f>IF('Finisher Model - ME Imperial'!$E$11=2,L9,IF('Finisher Model - ME Imperial'!$E$11=3,M9,IF('Finisher Model - ME Imperial'!$E$11=4,N9,IF('Finisher Model - ME Imperial'!$E$11=5,O9,IF('Finisher Model - ME Imperial'!$E$11=6,P9,"")))))</f>
        <v>109.15616285911334</v>
      </c>
      <c r="L9" s="15">
        <f>SUM(B16:C16)</f>
        <v>37.159339679085456</v>
      </c>
      <c r="M9" s="17">
        <f>SUM(B16:D16)</f>
        <v>60.385950966842458</v>
      </c>
      <c r="N9" s="17">
        <f>SUM(B16:E16)</f>
        <v>83.614748888225549</v>
      </c>
      <c r="O9" s="17">
        <f>SUM(B16:F16)</f>
        <v>109.15616285911334</v>
      </c>
      <c r="P9" s="15" t="e">
        <f>SUM(B16:G16)</f>
        <v>#VALUE!</v>
      </c>
    </row>
    <row r="10" spans="1:16">
      <c r="A10" t="s">
        <v>79</v>
      </c>
      <c r="B10" s="3">
        <f>AVERAGE(B5:B6)</f>
        <v>70</v>
      </c>
      <c r="C10" s="3">
        <f t="shared" ref="C10:E10" si="1">AVERAGE(C5:C6)</f>
        <v>110</v>
      </c>
      <c r="D10" s="3">
        <f t="shared" si="1"/>
        <v>155</v>
      </c>
      <c r="E10" s="3">
        <f t="shared" si="1"/>
        <v>205</v>
      </c>
      <c r="F10" s="3">
        <f>AVERAGE(F5:F6)</f>
        <v>257.5</v>
      </c>
      <c r="G10" s="3">
        <f>AVERAGE(G5:G6)</f>
        <v>0</v>
      </c>
      <c r="J10" s="17" t="s">
        <v>46</v>
      </c>
      <c r="K10" s="123">
        <f>IF('Finisher Model - ME Imperial'!$E$11=2,L10,IF('Finisher Model - ME Imperial'!$E$11=3,M10,IF('Finisher Model - ME Imperial'!$E$11=4,N10,IF('Finisher Model - ME Imperial'!$E$11=5,O10,IF('Finisher Model - ME Imperial'!$E$11=6,P10,"")))))</f>
        <v>585.10576623202167</v>
      </c>
      <c r="L10" s="27">
        <f>SUM(B18:C18)</f>
        <v>154.94388278075081</v>
      </c>
      <c r="M10" s="27">
        <f>SUM(B18:D18)</f>
        <v>274.97468717591096</v>
      </c>
      <c r="N10" s="27">
        <f>SUM(B18:E18)</f>
        <v>412.84462823044896</v>
      </c>
      <c r="O10" s="27">
        <f>SUM(B18:F18)</f>
        <v>585.10576623202167</v>
      </c>
      <c r="P10" s="27">
        <f>SUM(B18:G18)</f>
        <v>-73.649049080778354</v>
      </c>
    </row>
    <row r="11" spans="1:16">
      <c r="A11" t="s">
        <v>63</v>
      </c>
      <c r="B11" s="9">
        <f>IFERROR(651.36+531.33*'Finisher Model - ME Imperial'!Q17-216.9*('Finisher Model - ME Imperial'!Q17*'Finisher Model - ME Imperial'!Q17),"")</f>
        <v>976.32123719381764</v>
      </c>
      <c r="C11" s="9">
        <f>IFERROR(651.36+531.33*'Finisher Model - ME Imperial'!Q18-216.9*('Finisher Model - ME Imperial'!Q18*'Finisher Model - ME Imperial'!Q18),"")</f>
        <v>976.74852401410055</v>
      </c>
      <c r="D11" s="9">
        <f>IFERROR(651.36+531.33*'Finisher Model - ME Imperial'!Q19-216.9*('Finisher Model - ME Imperial'!Q19*'Finisher Model - ME Imperial'!Q19),"")</f>
        <v>976.44973771764433</v>
      </c>
      <c r="E11" s="9">
        <f>IFERROR(651.36+531.33*'Finisher Model - ME Imperial'!Q20-216.9*('Finisher Model - ME Imperial'!Q20*'Finisher Model - ME Imperial'!Q20),"")</f>
        <v>976.35782001110169</v>
      </c>
      <c r="F11" s="9">
        <f>IFERROR(651.36+531.33*'Finisher Model - ME Imperial'!Q22-216.9*('Finisher Model - ME Imperial'!Q22*'Finisher Model - ME Imperial'!Q22),"")</f>
        <v>976.75016655050342</v>
      </c>
      <c r="G11" s="9" t="str">
        <f>IFERROR(651.36+531.33*'Finisher Model - ME Imperial'!Q42-216.9*('Finisher Model - ME Imperial'!Q42*'Finisher Model - ME Imperial'!Q42),"")</f>
        <v/>
      </c>
      <c r="H11" s="23"/>
      <c r="J11" s="17" t="s">
        <v>47</v>
      </c>
      <c r="K11" s="123">
        <f>IF('Finisher Model - ME Imperial'!$E$11=2,L11,IF('Finisher Model - ME Imperial'!$E$11=3,M11,IF('Finisher Model - ME Imperial'!$E$11=4,N11,IF('Finisher Model - ME Imperial'!$E$11=5,O11,IF('Finisher Model - ME Imperial'!$E$11=6,P11,"")))))</f>
        <v>72.421980637504973</v>
      </c>
      <c r="L11" s="15">
        <f>SUM(B20:C20)</f>
        <v>20.975894561952316</v>
      </c>
      <c r="M11" s="15">
        <f>SUM(B20:D20)</f>
        <v>35.943735870028789</v>
      </c>
      <c r="N11" s="17">
        <f>SUM(B20:E20)</f>
        <v>52.409542930172265</v>
      </c>
      <c r="O11" s="17">
        <f>SUM(B20:F20)</f>
        <v>72.421980637504973</v>
      </c>
      <c r="P11" s="15">
        <f>SUM(B20:G20)</f>
        <v>72.421980637504973</v>
      </c>
    </row>
    <row r="12" spans="1:16" ht="16.5" thickBot="1">
      <c r="A12" t="s">
        <v>64</v>
      </c>
      <c r="B12" s="9">
        <f>IFERROR(338.34+108.98*'Finisher Model - ME Imperial'!Q17-46.7864*('Finisher Model - ME Imperial'!Q17*'Finisher Model - ME Imperial'!Q17),"")</f>
        <v>401.28793672950354</v>
      </c>
      <c r="C12" s="9">
        <f>IFERROR(338.34+108.98*'Finisher Model - ME Imperial'!Q18-46.7864*('Finisher Model - ME Imperial'!Q18*'Finisher Model - ME Imperial'!Q18),"")</f>
        <v>401.65900732366316</v>
      </c>
      <c r="D12" s="9">
        <f>IFERROR(338.34+108.98*'Finisher Model - ME Imperial'!Q19-46.7864*('Finisher Model - ME Imperial'!Q19*'Finisher Model - ME Imperial'!Q19),"")</f>
        <v>401.77784534001239</v>
      </c>
      <c r="E12" s="9">
        <f>IFERROR(338.34+108.98*'Finisher Model - ME Imperial'!Q20-46.7864*('Finisher Model - ME Imperial'!Q20*'Finisher Model - ME Imperial'!Q20),"")</f>
        <v>401.78778610978617</v>
      </c>
      <c r="F12" s="9">
        <f>IFERROR(338.34+108.98*'Finisher Model - ME Imperial'!Q22-46.7864*('Finisher Model - ME Imperial'!Q22*'Finisher Model - ME Imperial'!Q22),"")</f>
        <v>401.6091661566378</v>
      </c>
      <c r="G12" s="9" t="str">
        <f>IFERROR(338.34+108.98*'Finisher Model - ME Imperial'!Q42-46.7864*('Finisher Model - ME Imperial'!Q42*'Finisher Model - ME Imperial'!Q42),"")</f>
        <v/>
      </c>
      <c r="J12" s="1" t="s">
        <v>48</v>
      </c>
      <c r="K12" s="20">
        <f>IF('Finisher Model - ME Imperial'!$E$11=2,L12,IF('Finisher Model - ME Imperial'!$E$11=3,M12,IF('Finisher Model - ME Imperial'!$E$11=4,N12,IF('Finisher Model - ME Imperial'!$E$11=5,O12,IF('Finisher Model - ME Imperial'!$E$11=6,P12,"")))))</f>
        <v>85.520720180598573</v>
      </c>
      <c r="L12" s="16">
        <f>SUM(B26:C26)</f>
        <v>25.43501532344257</v>
      </c>
      <c r="M12" s="16">
        <f>SUM(B26:D26)</f>
        <v>43.190049986049885</v>
      </c>
      <c r="N12" s="1">
        <f>SUM(B26:E26)</f>
        <v>62.443312796759329</v>
      </c>
      <c r="O12" s="16">
        <f>SUM(B26:F26)</f>
        <v>85.520720180598573</v>
      </c>
      <c r="P12" s="16" t="e">
        <f>SUM(B26:G26)</f>
        <v>#VALUE!</v>
      </c>
    </row>
    <row r="13" spans="1:16">
      <c r="A13" t="s">
        <v>65</v>
      </c>
      <c r="B13" s="6">
        <f t="shared" ref="B13:G13" si="2">(B11/B12)*1000</f>
        <v>2432.9693166229595</v>
      </c>
      <c r="C13" s="6">
        <f t="shared" si="2"/>
        <v>2431.7854354179121</v>
      </c>
      <c r="D13" s="6">
        <f t="shared" si="2"/>
        <v>2430.3225004636697</v>
      </c>
      <c r="E13" s="6">
        <f t="shared" si="2"/>
        <v>2430.033599240166</v>
      </c>
      <c r="F13" s="6">
        <f t="shared" si="2"/>
        <v>2432.0913187761907</v>
      </c>
      <c r="G13" s="6" t="e">
        <f t="shared" si="2"/>
        <v>#VALUE!</v>
      </c>
      <c r="J13" t="s">
        <v>55</v>
      </c>
      <c r="K13" s="123">
        <f>IF('Finisher Model - ME Imperial'!$E$11=2,L13,IF('Finisher Model - ME Imperial'!$E$11=3,M13,IF('Finisher Model - ME Imperial'!$E$11=4,N13,IF('Finisher Model - ME Imperial'!$E$11=5,O13,IF('Finisher Model - ME Imperial'!$E$11=6,P13,"")))))</f>
        <v>284.99758864197003</v>
      </c>
      <c r="L13" s="10">
        <f>SUM(B22:C22,'Finisher Model - ME Imperial'!C15)*'Finisher Model - ME Imperial'!E7</f>
        <v>129.99917911215999</v>
      </c>
      <c r="M13" s="10">
        <f>SUM(B22:D22,'Finisher Model - ME Imperial'!C15)*'Finisher Model - ME Imperial'!E7</f>
        <v>179.99866605726001</v>
      </c>
      <c r="N13" s="10">
        <f>SUM(B22:E22,'Finisher Model - ME Imperial'!C15)*'Finisher Model - ME Imperial'!E7</f>
        <v>229.99815300236003</v>
      </c>
      <c r="O13" s="10">
        <f>SUM(B22:F22,'Finisher Model - ME Imperial'!C15)*'Finisher Model - ME Imperial'!E7</f>
        <v>284.99758864197003</v>
      </c>
      <c r="P13" s="10" t="e">
        <f>SUM(B22:G22,'Finisher Model - ME Imperial'!C15)*'Finisher Model - ME Imperial'!E7</f>
        <v>#VALUE!</v>
      </c>
    </row>
    <row r="14" spans="1:16">
      <c r="A14" t="s">
        <v>67</v>
      </c>
      <c r="B14" s="76">
        <f>B13/B11</f>
        <v>2.4919762307085516</v>
      </c>
      <c r="C14" s="76">
        <f t="shared" ref="C14:G14" si="3">C13/C11</f>
        <v>2.4896740313710537</v>
      </c>
      <c r="D14" s="76">
        <f t="shared" si="3"/>
        <v>2.4889376345620313</v>
      </c>
      <c r="E14" s="76">
        <f t="shared" si="3"/>
        <v>2.4888760549001749</v>
      </c>
      <c r="F14" s="76">
        <f t="shared" si="3"/>
        <v>2.489983009028172</v>
      </c>
      <c r="G14" s="76" t="e">
        <f t="shared" si="3"/>
        <v>#VALUE!</v>
      </c>
      <c r="J14" s="17" t="s">
        <v>49</v>
      </c>
      <c r="K14" s="123">
        <f>IF('Finisher Model - ME Imperial'!$E$11=2,L14,IF('Finisher Model - ME Imperial'!$E$11=3,M14,IF('Finisher Model - ME Imperial'!$E$11=4,N14,IF('Finisher Model - ME Imperial'!$E$11=5,O14,IF('Finisher Model - ME Imperial'!$E$11=6,P14,"")))))</f>
        <v>212.57560800446504</v>
      </c>
      <c r="L14" s="14">
        <f>L13-L11</f>
        <v>109.02328455020768</v>
      </c>
      <c r="M14" s="14">
        <f>M13-M11</f>
        <v>144.05493018723121</v>
      </c>
      <c r="N14" s="14">
        <f t="shared" ref="N14:O14" si="4">N13-N11</f>
        <v>177.58861007218775</v>
      </c>
      <c r="O14" s="14">
        <f t="shared" si="4"/>
        <v>212.57560800446504</v>
      </c>
      <c r="P14" s="14" t="e">
        <f>P13-P11</f>
        <v>#VALUE!</v>
      </c>
    </row>
    <row r="15" spans="1:16" ht="16.5" thickBot="1">
      <c r="A15" t="s">
        <v>88</v>
      </c>
      <c r="B15" s="44">
        <f>IF('Finisher Model - ME Imperial'!E11=2,SUMPRODUCT(B14:C14,B16:C16)/SUM(B16:C16),IF('Finisher Model - ME Imperial'!E11=3,SUMPRODUCT(B14:D14,B16:D16)/SUM(B16:D16),IF('Finisher Model - ME Imperial'!E11=4,SUMPRODUCT(B14:E14,B16:E16)/SUM(B16:E16),IF('Finisher Model - ME Imperial'!E11=5,SUMPRODUCT(B14:F14,B16:F16)/SUM(B16:F16),IF('Finisher Model - ME Imperial'!E11=6,SUMPRODUCT(B14:G14,B16:G16)/SUM(B16:G16),"")))))</f>
        <v>2.4898117712000922</v>
      </c>
      <c r="C15" s="76"/>
      <c r="D15" s="76"/>
      <c r="E15" s="76"/>
      <c r="F15" s="76"/>
      <c r="G15" s="76"/>
      <c r="J15" s="1" t="s">
        <v>50</v>
      </c>
      <c r="K15" s="20">
        <f>IF('Finisher Model - ME Imperial'!$E$11=2,L15,IF('Finisher Model - ME Imperial'!$E$11=3,M15,IF('Finisher Model - ME Imperial'!$E$11=4,N15,IF('Finisher Model - ME Imperial'!$E$11=5,O15,IF('Finisher Model - ME Imperial'!$E$11=6,P15,"")))))</f>
        <v>199.47686846137145</v>
      </c>
      <c r="L15" s="16">
        <f>L13-L12</f>
        <v>104.56416378871742</v>
      </c>
      <c r="M15" s="16">
        <f>M13-M12</f>
        <v>136.80861607121011</v>
      </c>
      <c r="N15" s="16">
        <f t="shared" ref="N15:O15" si="5">N13-N12</f>
        <v>167.5548402056007</v>
      </c>
      <c r="O15" s="16">
        <f t="shared" si="5"/>
        <v>199.47686846137145</v>
      </c>
      <c r="P15" s="16" t="e">
        <f>P13-P12</f>
        <v>#VALUE!</v>
      </c>
    </row>
    <row r="16" spans="1:16">
      <c r="A16" s="126" t="s">
        <v>218</v>
      </c>
      <c r="B16" s="127">
        <f>(CONVERT(B7,"lbm","g"))/B11</f>
        <v>18.583734644705004</v>
      </c>
      <c r="C16" s="127">
        <f t="shared" ref="C16:F16" si="6">(CONVERT(C7,"lbm","g"))/C11</f>
        <v>18.575605034380452</v>
      </c>
      <c r="D16" s="127">
        <f>(CONVERT(D7,"lbm","g"))/D11</f>
        <v>23.226611287757002</v>
      </c>
      <c r="E16" s="127">
        <f t="shared" si="6"/>
        <v>23.228797921383087</v>
      </c>
      <c r="F16" s="127">
        <f t="shared" si="6"/>
        <v>25.541413970887785</v>
      </c>
      <c r="G16" s="127" t="e">
        <f>(CONVERT(G7,"lbm","g"))/G11</f>
        <v>#VALUE!</v>
      </c>
      <c r="H16" s="11">
        <f>IF('Finisher Model - ME Imperial'!E11=2,SUM(B16:C16),IF('Finisher Model - ME Imperial'!E11=3,SUM(B16:D16),IF('Finisher Model - ME Imperial'!E11=4,SUM(B16:E16),IF('Finisher Model - ME Imperial'!E11=5,SUM(B16:F16),IF('Finisher Model - ME Imperial'!E11=6,SUM(B16:G16),"")))))</f>
        <v>109.15616285911334</v>
      </c>
      <c r="J16" s="135" t="s">
        <v>54</v>
      </c>
    </row>
    <row r="17" spans="1:16">
      <c r="A17" s="129" t="s">
        <v>220</v>
      </c>
      <c r="B17" s="131">
        <f>((B6-B5)/2.2046)/(B11/1000)</f>
        <v>18.583925336184102</v>
      </c>
      <c r="C17" s="131">
        <f>(IF('Finisher Model - ME Imperial'!E11=2,'FW - Projected Performance - ME'!$B$34-'FW - Projected Performance - ME'!C5,'FW - Projected Performance - ME'!C6-'FW - Projected Performance - ME'!C5)/2.2046)/('FW - Projected Performance - ME'!C11/1000)</f>
        <v>18.575795642439964</v>
      </c>
      <c r="D17" s="131">
        <f>(IF('Finisher Model - ME Imperial'!E11=3,'FW - Projected Performance - ME'!$B$34-'FW - Projected Performance - ME'!D5,'FW - Projected Performance - ME'!D6-'FW - Projected Performance - ME'!D5)/2.2046)/('FW - Projected Performance - ME'!D11/1000)</f>
        <v>23.226849620737188</v>
      </c>
      <c r="E17" s="131">
        <f>(IF('Finisher Model - ME Imperial'!E11=4,'FW - Projected Performance - ME'!$B$34-'FW - Projected Performance - ME'!E5,'FW - Projected Performance - ME'!E6-'FW - Projected Performance - ME'!E5)/2.2046)/('FW - Projected Performance - ME'!E11/1000)</f>
        <v>23.229036276800766</v>
      </c>
      <c r="F17" s="131">
        <f>(IF('Finisher Model - ME Imperial'!E11=5,'FW - Projected Performance - ME'!$B$34-'FW - Projected Performance - ME'!F5,'FW - Projected Performance - ME'!F6-'FW - Projected Performance - ME'!F5)/2.2046)/('FW - Projected Performance - ME'!F11/1000)</f>
        <v>25.960117040850875</v>
      </c>
      <c r="G17" s="131" t="e">
        <f>(IF('Finisher Model - ME Imperial'!E11=6,'FW - Projected Performance - ME'!$B$34-'FW - Projected Performance - ME'!G5,'FW - Projected Performance - ME'!G6-'FW - Projected Performance - ME'!G5)/2.2046)/('FW - Projected Performance - ME'!G11/1000)</f>
        <v>#VALUE!</v>
      </c>
      <c r="H17" s="11">
        <f>IF('Finisher Model - ME Imperial'!E11=2,SUM(B17:C17),IF('Finisher Model - ME Imperial'!E11=3,SUM(B17:D17),IF('Finisher Model - ME Imperial'!E11=4,SUM(B17:E17),IF('Finisher Model - ME Imperial'!E11=5,SUM(B17:F17),IF('Finisher Model - ME Imperial'!E11=6,SUM(B17:G17),"")))))</f>
        <v>109.57572391701289</v>
      </c>
      <c r="J17" s="133" t="s">
        <v>42</v>
      </c>
      <c r="K17" s="257">
        <f>IF('Finisher Model - ME Imperial'!$E$11=2,L17,IF('Finisher Model - ME Imperial'!$E$11=3,M17,IF('Finisher Model - ME Imperial'!$E$11=4,N17,IF('Finisher Model - ME Imperial'!$E$11=5,O17,IF('Finisher Model - ME Imperial'!$E$11=6,P17,"")))))</f>
        <v>2.1528586689304139</v>
      </c>
      <c r="L17">
        <f>((SUM($B$23:$C$23)/SUM(B17:C17)))</f>
        <v>2.1528686947358828</v>
      </c>
      <c r="M17">
        <f>((SUM($B$23:$D$23)/SUM(B17:D17)))</f>
        <v>2.1527965358803649</v>
      </c>
      <c r="N17">
        <f>((SUM($B$23:$E$23)/SUM(B17:E17)))</f>
        <v>2.1527081692606385</v>
      </c>
      <c r="O17">
        <f>((SUM($B$23:$F$23)/SUM(B17:F17)))</f>
        <v>2.1528586689304139</v>
      </c>
      <c r="P17" t="e">
        <f>((SUM($B$23:$G$23)/SUM(B17:G17)))</f>
        <v>#VALUE!</v>
      </c>
    </row>
    <row r="18" spans="1:16">
      <c r="A18" s="126" t="s">
        <v>219</v>
      </c>
      <c r="B18" s="127">
        <f>D60</f>
        <v>71.763417659374539</v>
      </c>
      <c r="C18" s="127">
        <f>D61</f>
        <v>83.180465121376272</v>
      </c>
      <c r="D18" s="127">
        <f>D62</f>
        <v>120.03080439516015</v>
      </c>
      <c r="E18" s="127">
        <f>D63</f>
        <v>137.869941054538</v>
      </c>
      <c r="F18" s="127">
        <f>D64</f>
        <v>172.2611380015727</v>
      </c>
      <c r="G18" s="127">
        <f>D65</f>
        <v>-658.75481531280002</v>
      </c>
      <c r="H18" s="11"/>
      <c r="J18" s="133" t="s">
        <v>43</v>
      </c>
      <c r="K18" s="257">
        <f>IF('Finisher Model - ME Imperial'!$E$11=2,L18,IF('Finisher Model - ME Imperial'!$E$11=3,M18,IF('Finisher Model - ME Imperial'!$E$11=4,N18,IF('Finisher Model - ME Imperial'!$E$11=5,O18,IF('Finisher Model - ME Imperial'!$E$11=6,P18,"")))))</f>
        <v>2.4803016914422331</v>
      </c>
      <c r="L18">
        <f>SUM($B$19:$C$19)/SUM($B$23:$C$23)</f>
        <v>1.9367985347593852</v>
      </c>
      <c r="M18">
        <f>SUM($B$19:$D$19)/SUM($B$23:$D$23)</f>
        <v>2.1151899013531614</v>
      </c>
      <c r="N18">
        <f>SUM($B$19:$E$19)/SUM($B$23:$E$23)</f>
        <v>2.2935812679469385</v>
      </c>
      <c r="O18">
        <f>SUM($B$19:$F$19)/SUM($B$23:$F$23)</f>
        <v>2.4803016914422331</v>
      </c>
      <c r="P18" t="e">
        <f>SUM($B$19:$G$19)/SUM($B$23:$G$23)</f>
        <v>#VALUE!</v>
      </c>
    </row>
    <row r="19" spans="1:16">
      <c r="A19" s="129" t="s">
        <v>221</v>
      </c>
      <c r="B19" s="131">
        <f>I60</f>
        <v>71.763417659374539</v>
      </c>
      <c r="C19" s="131">
        <f>I61</f>
        <v>83.180465121376272</v>
      </c>
      <c r="D19" s="131">
        <f>I62</f>
        <v>120.03080439516015</v>
      </c>
      <c r="E19" s="131">
        <f>I63</f>
        <v>137.869941054538</v>
      </c>
      <c r="F19" s="131">
        <f>I64</f>
        <v>172.2611380015727</v>
      </c>
      <c r="G19" s="131">
        <f>I65</f>
        <v>-658.75481531280002</v>
      </c>
      <c r="J19" s="133" t="s">
        <v>44</v>
      </c>
      <c r="K19" s="257">
        <f>IF('Finisher Model - ME Imperial'!$E$11=2,L19,IF('Finisher Model - ME Imperial'!$E$11=3,M19,IF('Finisher Model - ME Imperial'!$E$11=4,N19,IF('Finisher Model - ME Imperial'!$E$11=5,O19,IF('Finisher Model - ME Imperial'!$E$11=6,P19,"")))))</f>
        <v>5.3397389979841812</v>
      </c>
      <c r="L19">
        <f>SUM(B19:C19)/SUM(B17:C17)</f>
        <v>4.1696729334938079</v>
      </c>
      <c r="M19">
        <f>SUM(B19:D19)/SUM(B17:D17)</f>
        <v>4.5535734923622169</v>
      </c>
      <c r="N19">
        <f>SUM(B19:E19)/SUM(B17:E17)</f>
        <v>4.9374111323725485</v>
      </c>
      <c r="O19">
        <f>SUM(B19:F19)/SUM(B17:F17)</f>
        <v>5.3397389979841812</v>
      </c>
      <c r="P19" t="e">
        <f>SUM(B19:G19)/SUM(B17:G17)</f>
        <v>#VALUE!</v>
      </c>
    </row>
    <row r="20" spans="1:16">
      <c r="A20" s="126" t="s">
        <v>194</v>
      </c>
      <c r="B20" s="127">
        <f t="shared" ref="B20:G20" si="7">(B18*(B9/2000))</f>
        <v>10.036831593840123</v>
      </c>
      <c r="C20" s="127">
        <f>(C18*(C9/2000))</f>
        <v>10.939062968112193</v>
      </c>
      <c r="D20" s="127">
        <f t="shared" si="7"/>
        <v>14.967841308076471</v>
      </c>
      <c r="E20" s="127">
        <f t="shared" si="7"/>
        <v>16.465807060143476</v>
      </c>
      <c r="F20" s="127">
        <f t="shared" si="7"/>
        <v>20.012437707332708</v>
      </c>
      <c r="G20" s="127">
        <f t="shared" si="7"/>
        <v>0</v>
      </c>
      <c r="H20" s="11"/>
      <c r="J20" s="133" t="s">
        <v>45</v>
      </c>
      <c r="K20" s="123">
        <f>IF('Finisher Model - ME Imperial'!$E$11=2,L20,IF('Finisher Model - ME Imperial'!$E$11=3,M20,IF('Finisher Model - ME Imperial'!$E$11=4,N20,IF('Finisher Model - ME Imperial'!$E$11=5,O20,IF('Finisher Model - ME Imperial'!$E$11=6,P20,"")))))</f>
        <v>109.57572391701289</v>
      </c>
      <c r="L20" s="11">
        <f>SUM(B17:C17)</f>
        <v>37.159720978624065</v>
      </c>
      <c r="M20" s="11">
        <f>SUM(B17:D17)</f>
        <v>60.386570599361249</v>
      </c>
      <c r="N20" s="11">
        <f>SUM(B17:E17)</f>
        <v>83.615606876162019</v>
      </c>
      <c r="O20" s="11">
        <f>SUM(B17:F17)</f>
        <v>109.57572391701289</v>
      </c>
      <c r="P20" s="11" t="e">
        <f>SUM(B17:G17)</f>
        <v>#VALUE!</v>
      </c>
    </row>
    <row r="21" spans="1:16">
      <c r="A21" s="129" t="s">
        <v>206</v>
      </c>
      <c r="B21" s="131">
        <f>(B19*(B9/2000))</f>
        <v>10.036831593840123</v>
      </c>
      <c r="C21" s="131">
        <f>(C19*(C9/2000))</f>
        <v>10.939062968112193</v>
      </c>
      <c r="D21" s="131">
        <f t="shared" ref="D21:G21" si="8">(D19*(D9/2000))</f>
        <v>14.967841308076471</v>
      </c>
      <c r="E21" s="131">
        <f t="shared" si="8"/>
        <v>16.465807060143476</v>
      </c>
      <c r="F21" s="131">
        <f t="shared" si="8"/>
        <v>20.012437707332708</v>
      </c>
      <c r="G21" s="131">
        <f t="shared" si="8"/>
        <v>0</v>
      </c>
      <c r="J21" s="133" t="s">
        <v>46</v>
      </c>
      <c r="K21" s="123">
        <f>IF('Finisher Model - ME Imperial'!$E$11=2,L21,IF('Finisher Model - ME Imperial'!$E$11=3,M21,IF('Finisher Model - ME Imperial'!$E$11=4,N21,IF('Finisher Model - ME Imperial'!$E$11=5,O21,IF('Finisher Model - ME Imperial'!$E$11=6,P21,"")))))</f>
        <v>585.10576623202167</v>
      </c>
      <c r="L21" s="11">
        <f>SUM(B19:C19)</f>
        <v>154.94388278075081</v>
      </c>
      <c r="M21" s="11">
        <f>SUM(B19:D19)</f>
        <v>274.97468717591096</v>
      </c>
      <c r="N21" s="11">
        <f>SUM(B19:E19)</f>
        <v>412.84462823044896</v>
      </c>
      <c r="O21" s="11">
        <f>SUM(B19:F19)</f>
        <v>585.10576623202167</v>
      </c>
      <c r="P21" s="11">
        <f>SUM(B19:G19)</f>
        <v>-73.649049080778354</v>
      </c>
    </row>
    <row r="22" spans="1:16">
      <c r="A22" s="126" t="s">
        <v>195</v>
      </c>
      <c r="B22" s="127">
        <f t="shared" ref="B22:F22" si="9">B11/1000*B16*2.2046</f>
        <v>39.999589556080004</v>
      </c>
      <c r="C22" s="127">
        <f>C11/1000*C16*2.2046</f>
        <v>39.999589556080004</v>
      </c>
      <c r="D22" s="127">
        <f t="shared" si="9"/>
        <v>49.999486945100003</v>
      </c>
      <c r="E22" s="127">
        <f t="shared" si="9"/>
        <v>49.99948694510001</v>
      </c>
      <c r="F22" s="127">
        <f t="shared" si="9"/>
        <v>54.999435639609999</v>
      </c>
      <c r="G22" s="127" t="e">
        <f>G11/1000*G16*2.2046</f>
        <v>#VALUE!</v>
      </c>
      <c r="H22" s="11">
        <f>IF('Finisher Model - ME Imperial'!E11=2,SUM(B22:C22)+'Finisher Model - ME Imperial'!C15,IF('Finisher Model - ME Imperial'!E11=3,SUM(B22:D22)+'Finisher Model - ME Imperial'!C15,IF('Finisher Model - ME Imperial'!E11=4,SUM(B22:E22)+'Finisher Model - ME Imperial'!C15,IF('Finisher Model - ME Imperial'!E11=5,SUM(B22:F22)+'Finisher Model - ME Imperial'!C15,IF('Finisher Model - ME Imperial'!E11=6, SUM(B22:G22)+'Finisher Model - ME Imperial'!C15,"")))))</f>
        <v>284.99758864197003</v>
      </c>
      <c r="I22" s="6">
        <f>CONVERT(H22,"lbm","kg")</f>
        <v>129.27273167639629</v>
      </c>
      <c r="J22" s="133" t="s">
        <v>47</v>
      </c>
      <c r="K22" s="123">
        <f>IF('Finisher Model - ME Imperial'!$E$11=2,L22,IF('Finisher Model - ME Imperial'!$E$11=3,M22,IF('Finisher Model - ME Imperial'!$E$11=4,N22,IF('Finisher Model - ME Imperial'!$E$11=5,O22,IF('Finisher Model - ME Imperial'!$E$11=6,P22,"")))))</f>
        <v>72.421980637504973</v>
      </c>
      <c r="L22" s="15">
        <f>SUM(B21:C21)</f>
        <v>20.975894561952316</v>
      </c>
      <c r="M22" s="15">
        <f>SUM(B21:D21)</f>
        <v>35.943735870028789</v>
      </c>
      <c r="N22" s="15">
        <f>SUM(B21:E21)</f>
        <v>52.409542930172265</v>
      </c>
      <c r="O22" s="15">
        <f>SUM(B21:F21)</f>
        <v>72.421980637504973</v>
      </c>
      <c r="P22" s="15">
        <f>SUM(B21:G21)</f>
        <v>72.421980637504973</v>
      </c>
    </row>
    <row r="23" spans="1:16" ht="16.5" thickBot="1">
      <c r="A23" s="129" t="s">
        <v>207</v>
      </c>
      <c r="B23" s="131">
        <f>B11/1000*B17*2.2046</f>
        <v>40</v>
      </c>
      <c r="C23" s="131">
        <f t="shared" ref="C23:G23" si="10">C11/1000*C17*2.2046</f>
        <v>40</v>
      </c>
      <c r="D23" s="131">
        <f t="shared" si="10"/>
        <v>50</v>
      </c>
      <c r="E23" s="131">
        <f t="shared" si="10"/>
        <v>50</v>
      </c>
      <c r="F23" s="131">
        <f t="shared" si="10"/>
        <v>55.901047139066918</v>
      </c>
      <c r="G23" s="131" t="e">
        <f t="shared" si="10"/>
        <v>#VALUE!</v>
      </c>
      <c r="H23" s="11">
        <f>IF('Finisher Model - ME Imperial'!E11=2,SUM(B23:C23)+'Finisher Model - ME Imperial'!C15,IF('Finisher Model - ME Imperial'!E11=3,SUM(B23:D23)+'Finisher Model - ME Imperial'!C15,IF('Finisher Model - ME Imperial'!E11=4,SUM(B23:E23)+'Finisher Model - ME Imperial'!C15,IF('Finisher Model - ME Imperial'!E11=5,SUM(B23:F23)+'Finisher Model - ME Imperial'!C15,IF('Finisher Model - ME Imperial'!E11=6, SUM(B23:G23)+'Finisher Model - ME Imperial'!C15,"")))))</f>
        <v>285.90104713906692</v>
      </c>
      <c r="I23" s="6">
        <f>CONVERT(H23,"lbm","kg")</f>
        <v>129.68253355729109</v>
      </c>
      <c r="J23" s="134" t="s">
        <v>48</v>
      </c>
      <c r="K23" s="20">
        <f>IF('Finisher Model - ME Imperial'!$E$11=2,L23,IF('Finisher Model - ME Imperial'!$E$11=3,M23,IF('Finisher Model - ME Imperial'!$E$11=4,N23,IF('Finisher Model - ME Imperial'!$E$11=5,O23,IF('Finisher Model - ME Imperial'!$E$11=6,P23,"")))))</f>
        <v>85.571067507546516</v>
      </c>
      <c r="L23" s="16">
        <f>SUM(B27:C27)</f>
        <v>25.435061079387204</v>
      </c>
      <c r="M23" s="16">
        <f>SUM(B27:D27)</f>
        <v>43.190124341952135</v>
      </c>
      <c r="N23" s="16">
        <f>SUM(B27:E27)</f>
        <v>62.443415755311705</v>
      </c>
      <c r="O23" s="16">
        <f>SUM(B27:F27)</f>
        <v>85.571067507546516</v>
      </c>
      <c r="P23" s="16" t="e">
        <f>SUM(B27:G27)</f>
        <v>#VALUE!</v>
      </c>
    </row>
    <row r="24" spans="1:16">
      <c r="A24" s="126" t="s">
        <v>196</v>
      </c>
      <c r="B24" s="128">
        <f t="shared" ref="B24:G24" si="11">B20/((B11*0.00220462)*B16)</f>
        <v>0.25092108825405779</v>
      </c>
      <c r="C24" s="128">
        <f>C20/((C11*0.00220462)*C16)</f>
        <v>0.27347689943537151</v>
      </c>
      <c r="D24" s="128">
        <f t="shared" si="11"/>
        <v>0.29935718217223789</v>
      </c>
      <c r="E24" s="128">
        <f t="shared" si="11"/>
        <v>0.32931653284275375</v>
      </c>
      <c r="F24" s="128">
        <f t="shared" si="11"/>
        <v>0.36386293649390117</v>
      </c>
      <c r="G24" s="128" t="e">
        <f t="shared" si="11"/>
        <v>#VALUE!</v>
      </c>
      <c r="J24" t="s">
        <v>56</v>
      </c>
      <c r="K24" s="76">
        <f>IF('Finisher Model - ME Imperial'!$E$11=2,L24,IF('Finisher Model - ME Imperial'!$E$11=3,M24,IF('Finisher Model - ME Imperial'!$E$11=4,N24,IF('Finisher Model - ME Imperial'!$E$11=5,O24,IF('Finisher Model - ME Imperial'!$E$11=6,P24,"")))))</f>
        <v>164.43881580075595</v>
      </c>
      <c r="L24" s="17">
        <f>$B$33*'Finisher Model - ME Imperial'!$E$8</f>
        <v>164.43881580075595</v>
      </c>
      <c r="M24" s="17">
        <f>$B$33*'Finisher Model - ME Imperial'!$E$8</f>
        <v>164.43881580075595</v>
      </c>
      <c r="N24" s="17">
        <f>$B$33*'Finisher Model - ME Imperial'!$E$8</f>
        <v>164.43881580075595</v>
      </c>
      <c r="O24" s="17">
        <f>$B$33*'Finisher Model - ME Imperial'!$E$8</f>
        <v>164.43881580075595</v>
      </c>
      <c r="P24" s="17">
        <f>$B$33*'Finisher Model - ME Imperial'!$E$8</f>
        <v>164.43881580075595</v>
      </c>
    </row>
    <row r="25" spans="1:16">
      <c r="A25" s="129" t="s">
        <v>208</v>
      </c>
      <c r="B25" s="132">
        <f>B21/((B11*0.00220462)*B17)</f>
        <v>0.25091851352818101</v>
      </c>
      <c r="C25" s="132">
        <f t="shared" ref="C25:G25" si="12">C21/((C11*0.00220462)*C17)</f>
        <v>0.27347409326210576</v>
      </c>
      <c r="D25" s="132">
        <f t="shared" si="12"/>
        <v>0.29935411043885468</v>
      </c>
      <c r="E25" s="132">
        <f t="shared" si="12"/>
        <v>0.32931315369353731</v>
      </c>
      <c r="F25" s="132">
        <f t="shared" si="12"/>
        <v>0.35799429852450981</v>
      </c>
      <c r="G25" s="132" t="e">
        <f t="shared" si="12"/>
        <v>#VALUE!</v>
      </c>
      <c r="I25" s="29"/>
      <c r="J25" s="17" t="s">
        <v>57</v>
      </c>
      <c r="K25" s="76">
        <f>IF('Finisher Model - ME Imperial'!$E$11=2,L25,IF('Finisher Model - ME Imperial'!$E$11=3,M25,IF('Finisher Model - ME Imperial'!$E$11=4,N25,IF('Finisher Model - ME Imperial'!$E$11=5,O25,IF('Finisher Model - ME Imperial'!$E$11=6,P25,"")))))</f>
        <v>92.016835163250974</v>
      </c>
      <c r="L25" s="15">
        <f>L24-L22</f>
        <v>143.46292123880363</v>
      </c>
      <c r="M25" s="15">
        <f t="shared" ref="M25:P25" si="13">M24-M22</f>
        <v>128.49507993072717</v>
      </c>
      <c r="N25" s="15">
        <f t="shared" si="13"/>
        <v>112.02927287058368</v>
      </c>
      <c r="O25" s="15">
        <f t="shared" si="13"/>
        <v>92.016835163250974</v>
      </c>
      <c r="P25" s="15">
        <f t="shared" si="13"/>
        <v>92.016835163250974</v>
      </c>
    </row>
    <row r="26" spans="1:16" ht="16.5" thickBot="1">
      <c r="A26" s="126" t="s">
        <v>197</v>
      </c>
      <c r="B26" s="128">
        <f>B20+(B16*'Finisher Model - ME Imperial'!$E$10)</f>
        <v>12.266879751204723</v>
      </c>
      <c r="C26" s="128">
        <f>C20+(C16*'Finisher Model - ME Imperial'!$E$10)</f>
        <v>13.168135572237848</v>
      </c>
      <c r="D26" s="128">
        <f>D20+(D16*'Finisher Model - ME Imperial'!$E$10)</f>
        <v>17.755034662607311</v>
      </c>
      <c r="E26" s="128">
        <f>E20+(E16*'Finisher Model - ME Imperial'!$E$10)</f>
        <v>19.253262810709447</v>
      </c>
      <c r="F26" s="128">
        <f>F20+(F16*'Finisher Model - ME Imperial'!$E$10)</f>
        <v>23.077407383839244</v>
      </c>
      <c r="G26" s="128" t="e">
        <f>G20+(G16*'Finisher Model - ME Imperial'!$E$10)</f>
        <v>#VALUE!</v>
      </c>
      <c r="H26" s="46"/>
      <c r="J26" s="1" t="s">
        <v>59</v>
      </c>
      <c r="K26" s="20">
        <f>IF('Finisher Model - ME Imperial'!$E$11=2,L26,IF('Finisher Model - ME Imperial'!$E$11=3,M26,IF('Finisher Model - ME Imperial'!$E$11=4,N26,IF('Finisher Model - ME Imperial'!$E$11=5,O26,IF('Finisher Model - ME Imperial'!$E$11=6,P26,"")))))</f>
        <v>78.867748293209431</v>
      </c>
      <c r="L26" s="16">
        <f>L24-L23</f>
        <v>139.00375472136875</v>
      </c>
      <c r="M26" s="16">
        <f t="shared" ref="M26:P26" si="14">M24-M23</f>
        <v>121.24869145880382</v>
      </c>
      <c r="N26" s="16">
        <f t="shared" si="14"/>
        <v>101.99540004544424</v>
      </c>
      <c r="O26" s="16">
        <f t="shared" si="14"/>
        <v>78.867748293209431</v>
      </c>
      <c r="P26" s="16" t="e">
        <f t="shared" si="14"/>
        <v>#VALUE!</v>
      </c>
    </row>
    <row r="27" spans="1:16">
      <c r="A27" s="129" t="s">
        <v>209</v>
      </c>
      <c r="B27" s="132">
        <f>B21+(B17*'Finisher Model - ME Imperial'!$E$10)</f>
        <v>12.266902634182216</v>
      </c>
      <c r="C27" s="132">
        <f>C21+(C17*'Finisher Model - ME Imperial'!$E$10)</f>
        <v>13.168158445204988</v>
      </c>
      <c r="D27" s="132">
        <f>D21+(D17*'Finisher Model - ME Imperial'!$E$10)</f>
        <v>17.755063262564931</v>
      </c>
      <c r="E27" s="132">
        <f>E21+(E17*'Finisher Model - ME Imperial'!$E$10)</f>
        <v>19.25329141335957</v>
      </c>
      <c r="F27" s="132">
        <f>F21+(F17*'Finisher Model - ME Imperial'!$E$10)</f>
        <v>23.127651752234812</v>
      </c>
      <c r="G27" s="132" t="e">
        <f>G21+(G17*'Finisher Model - ME Imperial'!$E$10)</f>
        <v>#VALUE!</v>
      </c>
    </row>
    <row r="28" spans="1:16">
      <c r="A28" t="s">
        <v>62</v>
      </c>
      <c r="B28" s="76">
        <f>B22*'Finisher Model - ME Imperial'!$E$7</f>
        <v>39.999589556080004</v>
      </c>
      <c r="C28" s="76">
        <f>C22*'Finisher Model - ME Imperial'!$E$7</f>
        <v>39.999589556080004</v>
      </c>
      <c r="D28" s="76">
        <f>D22*'Finisher Model - ME Imperial'!$E$7</f>
        <v>49.999486945100003</v>
      </c>
      <c r="E28" s="76">
        <f>E22*'Finisher Model - ME Imperial'!$E$7</f>
        <v>49.99948694510001</v>
      </c>
      <c r="F28" s="76">
        <f>F22*'Finisher Model - ME Imperial'!$E$7</f>
        <v>54.999435639609999</v>
      </c>
      <c r="G28" s="76" t="e">
        <f>G22*'Finisher Model - ME Imperial'!$E$7</f>
        <v>#VALUE!</v>
      </c>
    </row>
    <row r="29" spans="1:16">
      <c r="A29" t="s">
        <v>39</v>
      </c>
      <c r="B29" s="76">
        <f t="shared" ref="B29:G29" si="15">B28-B20</f>
        <v>29.962757962239881</v>
      </c>
      <c r="C29" s="76">
        <f t="shared" si="15"/>
        <v>29.060526587967811</v>
      </c>
      <c r="D29" s="76">
        <f t="shared" si="15"/>
        <v>35.03164563702353</v>
      </c>
      <c r="E29" s="76">
        <f t="shared" si="15"/>
        <v>33.533679884956534</v>
      </c>
      <c r="F29" s="76">
        <f t="shared" si="15"/>
        <v>34.986997932277291</v>
      </c>
      <c r="G29" s="76" t="e">
        <f t="shared" si="15"/>
        <v>#VALUE!</v>
      </c>
      <c r="H29" s="10"/>
    </row>
    <row r="30" spans="1:16">
      <c r="A30" t="s">
        <v>40</v>
      </c>
      <c r="B30" s="76">
        <f t="shared" ref="B30:G30" si="16">B28-B26</f>
        <v>27.732709804875281</v>
      </c>
      <c r="C30" s="76">
        <f t="shared" si="16"/>
        <v>26.831453983842156</v>
      </c>
      <c r="D30" s="76">
        <f t="shared" si="16"/>
        <v>32.244452282492688</v>
      </c>
      <c r="E30" s="76">
        <f t="shared" si="16"/>
        <v>30.746224134390562</v>
      </c>
      <c r="F30" s="76">
        <f t="shared" si="16"/>
        <v>31.922028255770755</v>
      </c>
      <c r="G30" s="76" t="e">
        <f t="shared" si="16"/>
        <v>#VALUE!</v>
      </c>
    </row>
    <row r="31" spans="1:16">
      <c r="A31" t="s">
        <v>90</v>
      </c>
      <c r="B31" s="76">
        <f>'Finisher Model - ME Imperial'!S17</f>
        <v>0.99106590262234673</v>
      </c>
      <c r="C31" s="76">
        <f>'Finisher Model - ME Imperial'!S18</f>
        <v>0.99909765999437017</v>
      </c>
      <c r="D31" s="76">
        <f>'Finisher Model - ME Imperial'!S19</f>
        <v>0.98145534358358266</v>
      </c>
      <c r="E31" s="76">
        <f>'Finisher Model - ME Imperial'!S20</f>
        <v>1.0137406723629696</v>
      </c>
      <c r="F31" s="76">
        <f>'Finisher Model - ME Imperial'!S22</f>
        <v>1.1101839646674505</v>
      </c>
      <c r="G31" s="76" t="str">
        <f>'Finisher Model - ME Imperial'!S42</f>
        <v/>
      </c>
    </row>
    <row r="32" spans="1:16">
      <c r="A32" t="s">
        <v>91</v>
      </c>
      <c r="B32" s="76">
        <f>SUMPRODUCT(B31,B18)/SUM(B18)</f>
        <v>0.99106590262234662</v>
      </c>
      <c r="C32" s="76">
        <f>SUMPRODUCT(B31:C31,B18:C18)/SUM(B18:C18)</f>
        <v>0.99537769152266953</v>
      </c>
      <c r="D32" s="76">
        <f>SUMPRODUCT(B31:D31,B18:D18)/SUM(B18:D18)</f>
        <v>0.98930036622643647</v>
      </c>
      <c r="E32" s="76">
        <f>SUMPRODUCT(B31:E31,B18:E18)/SUM(B18:E18)</f>
        <v>0.99746223472607398</v>
      </c>
      <c r="F32" s="76">
        <f>SUMPRODUCT(B31:F31,B18:F18)/SUM(B18:F18)</f>
        <v>1.0306486680136029</v>
      </c>
      <c r="G32" s="76">
        <f>SUMPRODUCT(B31:G31,B18:G18)/SUM(B18:G18)</f>
        <v>-8.188000879043237</v>
      </c>
    </row>
    <row r="33" spans="1:10">
      <c r="A33" s="126" t="s">
        <v>212</v>
      </c>
      <c r="B33" s="128">
        <f>'Current Performance - ME'!B28</f>
        <v>210.81899461635376</v>
      </c>
      <c r="J33" t="s">
        <v>166</v>
      </c>
    </row>
    <row r="34" spans="1:10">
      <c r="A34" s="126" t="s">
        <v>213</v>
      </c>
      <c r="B34" s="130">
        <f>B33/(IF('Finisher Model - ME Imperial'!E9&lt;76,'FW - Projected Performance - ME'!$B$43,'FW - Projected Performance - ME'!B$44)/100)</f>
        <v>285.90104713906692</v>
      </c>
      <c r="J34" t="s">
        <v>167</v>
      </c>
    </row>
    <row r="35" spans="1:10">
      <c r="A35" t="s">
        <v>177</v>
      </c>
      <c r="B35" s="6">
        <f>$H$22*IF('Finisher Model - ME Imperial'!$E$9&lt;76,'FW - Projected Performance - ME'!$B$43,'FW - Projected Performance - ME'!B$44)/100</f>
        <v>210.15279834340717</v>
      </c>
      <c r="C35" s="6">
        <f>$H$22*IF('Finisher Model - ME Imperial'!$E$9&lt;76,'FW - Projected Performance - ME'!$B$43,'FW - Projected Performance - ME'!C$44)/100</f>
        <v>210.15279834340717</v>
      </c>
      <c r="D35" s="6">
        <f>$H$22*IF('Finisher Model - ME Imperial'!$E$9&lt;76,'FW - Projected Performance - ME'!$B$43,'FW - Projected Performance - ME'!D$44)/100</f>
        <v>210.15279834340717</v>
      </c>
      <c r="E35" s="6">
        <f>$H$22*IF('Finisher Model - ME Imperial'!$E$9&lt;76,'FW - Projected Performance - ME'!$B$43,'FW - Projected Performance - ME'!E$44)/100</f>
        <v>210.15279834340717</v>
      </c>
      <c r="F35" s="6">
        <f>$H$22*IF('Finisher Model - ME Imperial'!$E$9&lt;76,'FW - Projected Performance - ME'!$B$43,'FW - Projected Performance - ME'!F$44)/100</f>
        <v>210.15279834340717</v>
      </c>
      <c r="G35" s="6">
        <f>$H$22*IF('Finisher Model - ME Imperial'!$E$9&lt;76,'FW - Projected Performance - ME'!$B$43,'FW - Projected Performance - ME'!G$44)/100</f>
        <v>210.15279834340717</v>
      </c>
    </row>
    <row r="36" spans="1:10">
      <c r="A36" t="s">
        <v>176</v>
      </c>
      <c r="B36" s="76">
        <f t="shared" ref="B36:G36" si="17">(VLOOKUP($I$22,$C$71:$I$110,7,TRUE))*100</f>
        <v>74.834422113559796</v>
      </c>
      <c r="C36" s="76">
        <f t="shared" si="17"/>
        <v>74.834422113559796</v>
      </c>
      <c r="D36" s="76">
        <f t="shared" si="17"/>
        <v>74.834422113559796</v>
      </c>
      <c r="E36" s="76">
        <f t="shared" si="17"/>
        <v>74.834422113559796</v>
      </c>
      <c r="F36" s="76">
        <f t="shared" si="17"/>
        <v>74.834422113559796</v>
      </c>
      <c r="G36" s="76">
        <f t="shared" si="17"/>
        <v>74.834422113559796</v>
      </c>
    </row>
    <row r="37" spans="1:10">
      <c r="A37" t="s">
        <v>107</v>
      </c>
      <c r="B37" s="3">
        <f>'Finisher Model - ME Imperial'!E9</f>
        <v>74</v>
      </c>
      <c r="C37" s="3"/>
      <c r="D37" s="3"/>
      <c r="E37" s="3"/>
      <c r="F37" s="3"/>
      <c r="G37" s="3"/>
    </row>
    <row r="38" spans="1:10">
      <c r="A38" t="s">
        <v>108</v>
      </c>
      <c r="B38" s="54">
        <f>B37/B36</f>
        <v>0.98884975536667363</v>
      </c>
      <c r="C38" s="9"/>
      <c r="D38" s="9"/>
      <c r="E38" s="9"/>
      <c r="F38" s="9"/>
      <c r="G38" s="9"/>
    </row>
    <row r="39" spans="1:10">
      <c r="A39" t="s">
        <v>180</v>
      </c>
      <c r="B39" s="95">
        <f>'Finisher Model - ME Imperial'!Q17</f>
        <v>1.2694791779362142</v>
      </c>
      <c r="C39" s="95">
        <f>'Finisher Model - ME Imperial'!Q18</f>
        <v>1.2199449245579297</v>
      </c>
      <c r="D39" s="95">
        <f>'Finisher Model - ME Imperial'!Q19</f>
        <v>1.1873922871163929</v>
      </c>
      <c r="E39" s="95">
        <f>'Finisher Model - ME Imperial'!Q20</f>
        <v>1.1821053923010845</v>
      </c>
      <c r="F39" s="54">
        <f>'Finisher Model - ME Imperial'!Q22</f>
        <v>1.2288598435245277</v>
      </c>
      <c r="G39" s="54" t="str">
        <f>'Finisher Model - ME Imperial'!Q42</f>
        <v/>
      </c>
      <c r="H39">
        <f>IF('Finisher Model - ME Imperial'!E11=2,SUMPRODUCT(B39:C39,B16:C16)/SUM(B16:C16),IF('Finisher Model - ME Imperial'!E11=3,SUMPRODUCT(B39:D39,B16:D16)/SUM(B16:D16),IF('Finisher Model - ME Imperial'!E11=4,SUMPRODUCT(B39:E39,B16:E16)/SUM(B16:E16),IF('Finisher Model - ME Imperial'!E11=5,SUMPRODUCT(B39:F39,B16:F16)/SUM(B16:F16),IF('Finisher Model - ME Imperial'!E11=6,SUMPRODUCT(B39:G39,B16:G16)/SUM(B16:G16),"")))))</f>
        <v>1.2154850458366551</v>
      </c>
    </row>
    <row r="40" spans="1:10">
      <c r="A40" t="s">
        <v>179</v>
      </c>
      <c r="B40" s="93">
        <f>73.859-1.19192*H39</f>
        <v>72.410239064166362</v>
      </c>
      <c r="C40" s="9"/>
      <c r="D40" s="9"/>
      <c r="E40" s="9"/>
      <c r="F40" s="9"/>
      <c r="G40" s="9"/>
    </row>
    <row r="41" spans="1:10">
      <c r="A41" t="s">
        <v>171</v>
      </c>
      <c r="B41" s="93">
        <f>73.859-1.19192*1</f>
        <v>72.667079999999999</v>
      </c>
      <c r="C41" s="9"/>
      <c r="D41" s="9"/>
      <c r="E41" s="9"/>
      <c r="F41" s="9"/>
      <c r="G41" s="9"/>
    </row>
    <row r="42" spans="1:10">
      <c r="A42" t="s">
        <v>173</v>
      </c>
      <c r="B42" s="54">
        <f>B40/B41</f>
        <v>0.99646551181313969</v>
      </c>
      <c r="C42" s="9"/>
      <c r="D42" s="9"/>
      <c r="E42" s="9"/>
      <c r="F42" s="9"/>
      <c r="G42" s="9"/>
    </row>
    <row r="43" spans="1:10">
      <c r="A43" t="s">
        <v>174</v>
      </c>
      <c r="B43" s="54">
        <f>(VLOOKUP($I$22,$C$71:$K$110,9,TRUE))</f>
        <v>73.738447874172337</v>
      </c>
      <c r="C43" s="9"/>
      <c r="D43" s="9"/>
      <c r="E43" s="9"/>
      <c r="F43" s="9"/>
      <c r="G43" s="9"/>
    </row>
    <row r="44" spans="1:10">
      <c r="A44" t="s">
        <v>243</v>
      </c>
      <c r="B44" s="259">
        <f>'Current Performance - ME'!$B$36</f>
        <v>73.972202930178625</v>
      </c>
      <c r="C44" s="259">
        <f>'Current Performance - ME'!$B$36</f>
        <v>73.972202930178625</v>
      </c>
      <c r="D44" s="259">
        <f>'Current Performance - ME'!$B$36</f>
        <v>73.972202930178625</v>
      </c>
      <c r="E44" s="259">
        <f>'Current Performance - ME'!$B$36</f>
        <v>73.972202930178625</v>
      </c>
      <c r="F44" s="259">
        <f>'Current Performance - ME'!$B$36</f>
        <v>73.972202930178625</v>
      </c>
      <c r="G44" s="259">
        <f>'Current Performance - ME'!$B$36</f>
        <v>73.972202930178625</v>
      </c>
    </row>
    <row r="53" spans="1:10" ht="16.5" thickBot="1"/>
    <row r="54" spans="1:10" ht="16.5" thickBot="1">
      <c r="B54" s="319" t="s">
        <v>216</v>
      </c>
      <c r="C54" s="320"/>
      <c r="D54" s="320"/>
      <c r="E54" s="321"/>
      <c r="G54" s="319" t="s">
        <v>217</v>
      </c>
      <c r="H54" s="320"/>
      <c r="I54" s="320"/>
      <c r="J54" s="321"/>
    </row>
    <row r="55" spans="1:10" ht="16.5" thickBot="1">
      <c r="B55" s="309" t="s">
        <v>70</v>
      </c>
      <c r="C55" s="310"/>
      <c r="D55" s="310"/>
      <c r="E55" s="311"/>
      <c r="G55" s="309" t="s">
        <v>70</v>
      </c>
      <c r="H55" s="310"/>
      <c r="I55" s="310"/>
      <c r="J55" s="311"/>
    </row>
    <row r="56" spans="1:10" ht="16.5" thickBot="1">
      <c r="B56" s="39" t="s">
        <v>71</v>
      </c>
      <c r="C56" s="32" t="s">
        <v>72</v>
      </c>
      <c r="D56" s="39" t="s">
        <v>73</v>
      </c>
      <c r="E56" s="41"/>
      <c r="G56" s="39" t="s">
        <v>71</v>
      </c>
      <c r="H56" s="32" t="s">
        <v>72</v>
      </c>
      <c r="I56" s="39" t="s">
        <v>73</v>
      </c>
      <c r="J56" s="41"/>
    </row>
    <row r="57" spans="1:10" ht="16.5" thickBot="1">
      <c r="B57" s="40">
        <f>'Finisher Model - ME Imperial'!C15</f>
        <v>50</v>
      </c>
      <c r="C57" s="39">
        <f>IF('Finisher Model - ME Imperial'!$E$11=2,'Finisher Model - ME Imperial'!D16,IF('Finisher Model - ME Imperial'!$E$11=3,'Finisher Model - ME Imperial'!D17,IF('Finisher Model - ME Imperial'!$E$11=4,'Finisher Model - ME Imperial'!D18,IF('Finisher Model - ME Imperial'!$E$11=5,'Finisher Model - ME Imperial'!D19,IF('Finisher Model - ME Imperial'!$E$11=6,'Finisher Model - ME Imperial'!D20,"")))))</f>
        <v>285</v>
      </c>
      <c r="D57" s="39">
        <f>B15</f>
        <v>2.4898117712000922</v>
      </c>
      <c r="E57" s="41"/>
      <c r="G57" s="40">
        <f>'Finisher Model - ME Imperial'!C15</f>
        <v>50</v>
      </c>
      <c r="H57" s="39">
        <f>IF('Finisher Model - ME Imperial'!$E$11=2,'Finisher Model - ME Imperial'!D16,IF('Finisher Model - ME Imperial'!$E$11=3,'Finisher Model - ME Imperial'!D17,IF('Finisher Model - ME Imperial'!$E$11=4,'Finisher Model - ME Imperial'!D18,IF('Finisher Model - ME Imperial'!$E$11=5,'Finisher Model - ME Imperial'!D19,IF('Finisher Model - ME Imperial'!$E$11=6,'Finisher Model - ME Imperial'!D20,"")))))</f>
        <v>285</v>
      </c>
      <c r="I57" s="45">
        <f>B15</f>
        <v>2.4898117712000922</v>
      </c>
      <c r="J57" s="41"/>
    </row>
    <row r="58" spans="1:10">
      <c r="B58" s="35"/>
      <c r="C58" s="32"/>
      <c r="D58" s="32"/>
      <c r="E58" s="41"/>
      <c r="G58" s="35"/>
      <c r="H58" s="32"/>
      <c r="I58" s="32"/>
      <c r="J58" s="41"/>
    </row>
    <row r="59" spans="1:10">
      <c r="B59" s="35" t="s">
        <v>71</v>
      </c>
      <c r="C59" s="32" t="s">
        <v>72</v>
      </c>
      <c r="D59" s="42" t="s">
        <v>74</v>
      </c>
      <c r="E59" s="36">
        <f>IF(B60=0,F59,((0.00463*B60^2 + 1.68*B60 - 22.05)/(((0.00463*C57^2 + 1.68*C57 - 22.05)-(0.00463*B57^2 + 1.68*B57 - 22.05))/(C57-B57))*D57))</f>
        <v>56.657560383617344</v>
      </c>
      <c r="G59" s="35" t="s">
        <v>71</v>
      </c>
      <c r="H59" s="32" t="s">
        <v>72</v>
      </c>
      <c r="I59" s="42" t="s">
        <v>74</v>
      </c>
      <c r="J59" s="36">
        <f>IF(G60=0,K59,((0.00463*G60^2 + 1.68*G60 - 22.05)/(((0.00463*H57^2 + 1.68*H57 - 22.05)-(0.00463*G57^2 + 1.68*G57 - 22.05))/(H57-G57))*I57))</f>
        <v>56.657560383617344</v>
      </c>
    </row>
    <row r="60" spans="1:10">
      <c r="A60">
        <v>1</v>
      </c>
      <c r="B60" s="31">
        <f>'Finisher Model - ME Imperial'!C15</f>
        <v>50</v>
      </c>
      <c r="C60" s="37">
        <f>'Finisher Model - ME Imperial'!D15</f>
        <v>90</v>
      </c>
      <c r="D60" s="43">
        <f>IF(C60="","",(E60-E59))</f>
        <v>71.763417659374539</v>
      </c>
      <c r="E60" s="36">
        <f t="shared" ref="E60:E65" si="18">IF(B61="","",((0.00463*B61^2 + 1.68*B61 - 22.05)/(((0.00463*$C$57^2 + 1.68*$C$57 - 22.05)-(0.00463*$B$57^2 + 1.68*$B$57 - 22.05))/($C$57-$B$57))*$D$57))</f>
        <v>128.42097804299189</v>
      </c>
      <c r="G60" s="31">
        <f>'Finisher Model - ME Imperial'!C15</f>
        <v>50</v>
      </c>
      <c r="H60" s="37">
        <f>'Finisher Model - ME Imperial'!D15</f>
        <v>90</v>
      </c>
      <c r="I60" s="43">
        <f>IF(H60="","",(J60-J59))</f>
        <v>71.763417659374539</v>
      </c>
      <c r="J60" s="36">
        <f t="shared" ref="J60:J65" si="19">IF(G61="","",((0.00463*G61^2 + 1.68*G61 - 22.05)/(((0.00463*$C$57^2 + 1.68*$C$57 - 22.05)-(0.00463*$B$57^2 + 1.68*$B$57 - 22.05))/($C$57-$B$57))*$D$57))</f>
        <v>128.42097804299189</v>
      </c>
    </row>
    <row r="61" spans="1:10">
      <c r="A61">
        <v>2</v>
      </c>
      <c r="B61" s="31">
        <f t="shared" ref="B61:B66" si="20">C60</f>
        <v>90</v>
      </c>
      <c r="C61" s="37">
        <f>'Finisher Model - ME Imperial'!D16</f>
        <v>130</v>
      </c>
      <c r="D61" s="43">
        <f t="shared" ref="D61:D64" si="21">IF(C61="","",(E61-E60))</f>
        <v>83.180465121376272</v>
      </c>
      <c r="E61" s="36">
        <f t="shared" si="18"/>
        <v>211.60144316436816</v>
      </c>
      <c r="G61" s="31">
        <f>H60</f>
        <v>90</v>
      </c>
      <c r="H61" s="37">
        <f>IF(AND('Finisher Model - ME Imperial'!E11=2,'Finisher Model - ME Imperial'!E6="Carcass"),B35,'Finisher Model - ME Imperial'!D16)</f>
        <v>130</v>
      </c>
      <c r="I61" s="43">
        <f t="shared" ref="I61:I64" si="22">IF(H61="","",(J61-J60))</f>
        <v>83.180465121376272</v>
      </c>
      <c r="J61" s="36">
        <f t="shared" si="19"/>
        <v>211.60144316436816</v>
      </c>
    </row>
    <row r="62" spans="1:10">
      <c r="A62">
        <v>3</v>
      </c>
      <c r="B62" s="31">
        <f t="shared" si="20"/>
        <v>130</v>
      </c>
      <c r="C62" s="37">
        <f>'Finisher Model - ME Imperial'!D17</f>
        <v>180</v>
      </c>
      <c r="D62" s="43">
        <f t="shared" si="21"/>
        <v>120.03080439516015</v>
      </c>
      <c r="E62" s="36">
        <f t="shared" si="18"/>
        <v>331.63224755952831</v>
      </c>
      <c r="G62" s="31">
        <f t="shared" ref="G62:G66" si="23">H61</f>
        <v>130</v>
      </c>
      <c r="H62" s="37">
        <f>IF(AND('Finisher Model - ME Imperial'!E11=3,'Finisher Model - ME Imperial'!E6="Carcass"),$B$34,'Finisher Model - ME Imperial'!D17)</f>
        <v>180</v>
      </c>
      <c r="I62" s="43">
        <f t="shared" si="22"/>
        <v>120.03080439516015</v>
      </c>
      <c r="J62" s="36">
        <f t="shared" si="19"/>
        <v>331.63224755952831</v>
      </c>
    </row>
    <row r="63" spans="1:10">
      <c r="A63">
        <v>4</v>
      </c>
      <c r="B63" s="35">
        <f t="shared" si="20"/>
        <v>180</v>
      </c>
      <c r="C63" s="37">
        <f>'Finisher Model - ME Imperial'!D18</f>
        <v>230</v>
      </c>
      <c r="D63" s="43">
        <f t="shared" si="21"/>
        <v>137.869941054538</v>
      </c>
      <c r="E63" s="36">
        <f t="shared" si="18"/>
        <v>469.50218861406631</v>
      </c>
      <c r="G63" s="35">
        <f t="shared" si="23"/>
        <v>180</v>
      </c>
      <c r="H63" s="37">
        <f>IF(AND('Finisher Model - ME Imperial'!E11=4,'Finisher Model - ME Imperial'!E6="Carcass"),$B$34,'Finisher Model - ME Imperial'!D18)</f>
        <v>230</v>
      </c>
      <c r="I63" s="43">
        <f t="shared" si="22"/>
        <v>137.869941054538</v>
      </c>
      <c r="J63" s="36">
        <f t="shared" si="19"/>
        <v>469.50218861406631</v>
      </c>
    </row>
    <row r="64" spans="1:10">
      <c r="A64">
        <v>5</v>
      </c>
      <c r="B64" s="31">
        <f t="shared" si="20"/>
        <v>230</v>
      </c>
      <c r="C64" s="37">
        <f>'Finisher Model - ME Imperial'!D19</f>
        <v>285</v>
      </c>
      <c r="D64" s="43">
        <f t="shared" si="21"/>
        <v>172.2611380015727</v>
      </c>
      <c r="E64" s="36">
        <f t="shared" si="18"/>
        <v>641.76332661563902</v>
      </c>
      <c r="G64" s="31">
        <f t="shared" si="23"/>
        <v>230</v>
      </c>
      <c r="H64" s="37">
        <f>IF(AND('Finisher Model - ME Imperial'!E11=5,'Finisher Model - ME Imperial'!E6="Carcass"),$B$34,'Finisher Model - ME Imperial'!D19)</f>
        <v>285</v>
      </c>
      <c r="I64" s="43">
        <f t="shared" si="22"/>
        <v>172.2611380015727</v>
      </c>
      <c r="J64" s="36">
        <f t="shared" si="19"/>
        <v>641.76332661563902</v>
      </c>
    </row>
    <row r="65" spans="1:11" ht="16.5" thickBot="1">
      <c r="A65">
        <v>6</v>
      </c>
      <c r="B65" s="38">
        <f t="shared" si="20"/>
        <v>285</v>
      </c>
      <c r="C65" s="62">
        <f>'Finisher Model - ME Imperial'!D20</f>
        <v>0</v>
      </c>
      <c r="D65" s="65">
        <f>IF(C65="","",(E65-E64))</f>
        <v>-658.75481531280002</v>
      </c>
      <c r="E65" s="66">
        <f t="shared" si="18"/>
        <v>-16.991488697160996</v>
      </c>
      <c r="G65" s="38">
        <f t="shared" si="23"/>
        <v>285</v>
      </c>
      <c r="H65" s="62">
        <f>IF(AND('Finisher Model - ME Imperial'!E11=6,'Finisher Model - ME Imperial'!E6="Carcass"),$B$34,'Finisher Model - ME Imperial'!D20)</f>
        <v>0</v>
      </c>
      <c r="I65" s="65">
        <f>IF(H65="","",(J65-J64))</f>
        <v>-658.75481531280002</v>
      </c>
      <c r="J65" s="66">
        <f t="shared" si="19"/>
        <v>-16.991488697160996</v>
      </c>
    </row>
    <row r="66" spans="1:11">
      <c r="B66" s="3">
        <f t="shared" si="20"/>
        <v>0</v>
      </c>
      <c r="C66" s="5"/>
      <c r="D66" s="5"/>
      <c r="E66" s="5"/>
      <c r="G66" s="3">
        <f t="shared" si="23"/>
        <v>0</v>
      </c>
      <c r="H66" s="5"/>
      <c r="I66" s="5"/>
      <c r="J66" s="5"/>
    </row>
    <row r="69" spans="1:11" ht="42">
      <c r="B69" s="48" t="s">
        <v>92</v>
      </c>
      <c r="C69" s="48" t="s">
        <v>93</v>
      </c>
      <c r="D69" s="316" t="s">
        <v>94</v>
      </c>
      <c r="E69" s="316"/>
      <c r="F69" s="316"/>
      <c r="G69" s="78"/>
      <c r="H69" s="5"/>
      <c r="I69" s="317" t="s">
        <v>95</v>
      </c>
    </row>
    <row r="70" spans="1:11">
      <c r="B70" s="49" t="s">
        <v>96</v>
      </c>
      <c r="C70" s="49" t="s">
        <v>96</v>
      </c>
      <c r="D70" s="49" t="s">
        <v>97</v>
      </c>
      <c r="E70" s="49" t="s">
        <v>98</v>
      </c>
      <c r="F70" s="49" t="s">
        <v>99</v>
      </c>
      <c r="G70" s="49"/>
      <c r="H70" s="49"/>
      <c r="I70" s="318"/>
      <c r="J70" s="49" t="s">
        <v>109</v>
      </c>
      <c r="K70" t="s">
        <v>170</v>
      </c>
    </row>
    <row r="71" spans="1:11">
      <c r="B71" s="48">
        <v>81</v>
      </c>
      <c r="C71" s="50">
        <v>110.17670623134534</v>
      </c>
      <c r="D71" s="6">
        <v>16.864782047899471</v>
      </c>
      <c r="E71" s="6">
        <v>14.510728742835685</v>
      </c>
      <c r="F71" s="50">
        <v>15.687755395367578</v>
      </c>
      <c r="G71" s="50"/>
      <c r="H71" s="51"/>
      <c r="I71" s="52">
        <v>0.73518262408316082</v>
      </c>
      <c r="J71" s="6">
        <f t="shared" ref="J71:J110" si="24">(I71*$B$38)*100</f>
        <v>72.698515797446277</v>
      </c>
      <c r="K71" s="6">
        <f t="shared" ref="K71:K110" si="25">J71*$B$42</f>
        <v>72.441563752157919</v>
      </c>
    </row>
    <row r="72" spans="1:11">
      <c r="B72" s="48">
        <v>82</v>
      </c>
      <c r="C72" s="50">
        <v>111.4039519642067</v>
      </c>
      <c r="D72" s="6">
        <v>17.074455706764272</v>
      </c>
      <c r="E72" s="6">
        <v>14.613701440729169</v>
      </c>
      <c r="F72" s="50">
        <v>15.844078573746721</v>
      </c>
      <c r="G72" s="50"/>
      <c r="H72" s="51"/>
      <c r="I72" s="52">
        <v>0.73606006388665657</v>
      </c>
      <c r="J72" s="6">
        <f t="shared" si="24"/>
        <v>72.78528141094985</v>
      </c>
      <c r="K72" s="6">
        <f t="shared" si="25"/>
        <v>72.528022693625545</v>
      </c>
    </row>
    <row r="73" spans="1:11">
      <c r="B73" s="48">
        <v>83</v>
      </c>
      <c r="C73" s="50">
        <v>112.6282752396024</v>
      </c>
      <c r="D73" s="6">
        <v>17.284147265806148</v>
      </c>
      <c r="E73" s="6">
        <v>14.71614342750836</v>
      </c>
      <c r="F73" s="50">
        <v>16.000145346657256</v>
      </c>
      <c r="G73" s="50"/>
      <c r="H73" s="51"/>
      <c r="I73" s="52">
        <v>0.73693750369015243</v>
      </c>
      <c r="J73" s="6">
        <f t="shared" si="24"/>
        <v>72.872047024453437</v>
      </c>
      <c r="K73" s="6">
        <f t="shared" si="25"/>
        <v>72.614481635093171</v>
      </c>
    </row>
    <row r="74" spans="1:11">
      <c r="B74" s="48">
        <v>84</v>
      </c>
      <c r="C74" s="50">
        <v>113.84968648405146</v>
      </c>
      <c r="D74" s="6">
        <v>17.493856510850449</v>
      </c>
      <c r="E74" s="6">
        <v>14.81806378371237</v>
      </c>
      <c r="F74" s="50">
        <v>16.155960147281409</v>
      </c>
      <c r="G74" s="50"/>
      <c r="H74" s="51"/>
      <c r="I74" s="52">
        <v>0.73781494349364829</v>
      </c>
      <c r="J74" s="6">
        <f t="shared" si="24"/>
        <v>72.958812637957024</v>
      </c>
      <c r="K74" s="6">
        <f t="shared" si="25"/>
        <v>72.700940576560811</v>
      </c>
    </row>
    <row r="75" spans="1:11">
      <c r="B75" s="48">
        <v>85</v>
      </c>
      <c r="C75" s="50">
        <v>115.06819607453319</v>
      </c>
      <c r="D75" s="6">
        <v>17.703583232804778</v>
      </c>
      <c r="E75" s="6">
        <v>14.919471328516645</v>
      </c>
      <c r="F75" s="50">
        <v>16.311527280660712</v>
      </c>
      <c r="G75" s="50"/>
      <c r="H75" s="51"/>
      <c r="I75" s="52">
        <v>0.73869238329714404</v>
      </c>
      <c r="J75" s="6">
        <f t="shared" si="24"/>
        <v>73.045578251460597</v>
      </c>
      <c r="K75" s="6">
        <f t="shared" si="25"/>
        <v>72.787399518028423</v>
      </c>
    </row>
    <row r="76" spans="1:11">
      <c r="B76" s="48">
        <v>86</v>
      </c>
      <c r="C76" s="50">
        <v>116.28381433878111</v>
      </c>
      <c r="D76" s="6">
        <v>17.913327227479776</v>
      </c>
      <c r="E76" s="6">
        <v>15.020374630235036</v>
      </c>
      <c r="F76" s="50">
        <v>16.466850928857404</v>
      </c>
      <c r="G76" s="50"/>
      <c r="H76" s="50"/>
      <c r="I76" s="52">
        <v>0.7395698231006399</v>
      </c>
      <c r="J76" s="6">
        <f t="shared" si="24"/>
        <v>73.132343864964184</v>
      </c>
      <c r="K76" s="6">
        <f t="shared" si="25"/>
        <v>72.873858459496063</v>
      </c>
    </row>
    <row r="77" spans="1:11">
      <c r="B77" s="48">
        <v>87</v>
      </c>
      <c r="C77" s="50">
        <v>117.49655155557477</v>
      </c>
      <c r="D77" s="6">
        <v>18.123088295418643</v>
      </c>
      <c r="E77" s="6">
        <v>15.120782016283018</v>
      </c>
      <c r="F77" s="50">
        <v>16.621935155850831</v>
      </c>
      <c r="G77" s="50"/>
      <c r="H77" s="50"/>
      <c r="I77" s="52">
        <v>0.74044726290413565</v>
      </c>
      <c r="J77" s="6">
        <f t="shared" si="24"/>
        <v>73.219109478467757</v>
      </c>
      <c r="K77" s="6">
        <f t="shared" si="25"/>
        <v>72.960317400963675</v>
      </c>
    </row>
    <row r="78" spans="1:11">
      <c r="B78" s="48">
        <v>88</v>
      </c>
      <c r="C78" s="50">
        <v>118.70641795502937</v>
      </c>
      <c r="D78" s="6">
        <v>18.332866241734184</v>
      </c>
      <c r="E78" s="6">
        <v>15.220701582635391</v>
      </c>
      <c r="F78" s="50">
        <v>16.776783912184786</v>
      </c>
      <c r="G78" s="50"/>
      <c r="H78" s="50"/>
      <c r="I78" s="52">
        <v>0.74132470270763151</v>
      </c>
      <c r="J78" s="6">
        <f t="shared" si="24"/>
        <v>73.305875091971345</v>
      </c>
      <c r="K78" s="6">
        <f t="shared" si="25"/>
        <v>73.046776342431315</v>
      </c>
    </row>
    <row r="79" spans="1:11">
      <c r="B79" s="48">
        <v>89</v>
      </c>
      <c r="C79" s="50">
        <v>119.91342371888354</v>
      </c>
      <c r="D79" s="6">
        <v>18.542660875953423</v>
      </c>
      <c r="E79" s="6">
        <v>15.320141202809715</v>
      </c>
      <c r="F79" s="50">
        <v>16.931401039381569</v>
      </c>
      <c r="G79" s="50"/>
      <c r="H79" s="50"/>
      <c r="I79" s="52">
        <v>0.74220214251112737</v>
      </c>
      <c r="J79" s="6">
        <f t="shared" si="24"/>
        <v>73.392640705474932</v>
      </c>
      <c r="K79" s="6">
        <f t="shared" si="25"/>
        <v>73.133235283898941</v>
      </c>
    </row>
    <row r="80" spans="1:11">
      <c r="B80" s="5">
        <v>90</v>
      </c>
      <c r="C80" s="50">
        <v>121.11757898078487</v>
      </c>
      <c r="D80" s="6">
        <v>18.752472011869195</v>
      </c>
      <c r="E80" s="6">
        <v>15.419108536404257</v>
      </c>
      <c r="F80" s="50">
        <v>17.085790274136727</v>
      </c>
      <c r="G80" s="50"/>
      <c r="H80" s="6"/>
      <c r="I80" s="52">
        <v>0.74307958231462312</v>
      </c>
      <c r="J80" s="6">
        <f t="shared" si="24"/>
        <v>73.479406318978519</v>
      </c>
      <c r="K80" s="6">
        <f t="shared" si="25"/>
        <v>73.219694225366581</v>
      </c>
    </row>
    <row r="81" spans="2:11">
      <c r="B81" s="5">
        <v>91</v>
      </c>
      <c r="C81" s="50">
        <v>122.31889382657351</v>
      </c>
      <c r="D81" s="6">
        <v>18.962299467398132</v>
      </c>
      <c r="E81" s="6">
        <v>15.517611037217174</v>
      </c>
      <c r="F81" s="50">
        <v>17.239955252307652</v>
      </c>
      <c r="G81" s="50"/>
      <c r="H81" s="6"/>
      <c r="I81" s="52">
        <v>0.74395702211811898</v>
      </c>
      <c r="J81" s="6">
        <f t="shared" si="24"/>
        <v>73.566171932482092</v>
      </c>
      <c r="K81" s="6">
        <f t="shared" si="25"/>
        <v>73.306153166834207</v>
      </c>
    </row>
    <row r="82" spans="2:11">
      <c r="B82" s="5">
        <v>92</v>
      </c>
      <c r="C82" s="50">
        <v>123.51737829456385</v>
      </c>
      <c r="D82" s="6">
        <v>19.172143064445141</v>
      </c>
      <c r="E82" s="6">
        <v>15.615655960971905</v>
      </c>
      <c r="F82" s="50">
        <v>17.393899512708522</v>
      </c>
      <c r="G82" s="50"/>
      <c r="H82" s="6"/>
      <c r="I82" s="52">
        <v>0.74483446192161473</v>
      </c>
      <c r="J82" s="6">
        <f t="shared" si="24"/>
        <v>73.652937545985679</v>
      </c>
      <c r="K82" s="6">
        <f t="shared" si="25"/>
        <v>73.392612108301833</v>
      </c>
    </row>
    <row r="83" spans="2:11">
      <c r="B83" s="5">
        <v>93</v>
      </c>
      <c r="C83" s="50">
        <v>124.71304237582397</v>
      </c>
      <c r="D83" s="6">
        <v>19.382002628773577</v>
      </c>
      <c r="E83" s="6">
        <v>15.713250372671933</v>
      </c>
      <c r="F83" s="50">
        <v>17.547626500722757</v>
      </c>
      <c r="G83" s="50"/>
      <c r="H83" s="6"/>
      <c r="I83" s="52">
        <v>0.74571190172511059</v>
      </c>
      <c r="J83" s="6">
        <f t="shared" si="24"/>
        <v>73.739703159489252</v>
      </c>
      <c r="K83" s="6">
        <f t="shared" si="25"/>
        <v>73.479071049769459</v>
      </c>
    </row>
    <row r="84" spans="2:11">
      <c r="B84" s="5">
        <v>94</v>
      </c>
      <c r="C84" s="50">
        <v>125.90589601445348</v>
      </c>
      <c r="D84" s="6">
        <v>19.591877989881006</v>
      </c>
      <c r="E84" s="6">
        <v>15.81040115360647</v>
      </c>
      <c r="F84" s="50">
        <v>17.701139571743738</v>
      </c>
      <c r="G84" s="50"/>
      <c r="H84" s="6"/>
      <c r="I84" s="52">
        <v>0.74658934152860634</v>
      </c>
      <c r="J84" s="6">
        <f t="shared" si="24"/>
        <v>73.82646877299284</v>
      </c>
      <c r="K84" s="6">
        <f t="shared" si="25"/>
        <v>73.565529991237085</v>
      </c>
    </row>
    <row r="85" spans="2:11">
      <c r="B85" s="5">
        <v>95</v>
      </c>
      <c r="C85" s="50">
        <v>127.09594910785896</v>
      </c>
      <c r="D85" s="6">
        <v>19.80176898088045</v>
      </c>
      <c r="E85" s="6">
        <v>15.907115008027194</v>
      </c>
      <c r="F85" s="50">
        <v>17.854441994453822</v>
      </c>
      <c r="G85" s="50"/>
      <c r="H85" s="6"/>
      <c r="I85" s="52">
        <v>0.7474667813321022</v>
      </c>
      <c r="J85" s="6">
        <f t="shared" si="24"/>
        <v>73.913234386496413</v>
      </c>
      <c r="K85" s="6">
        <f t="shared" si="25"/>
        <v>73.651988932704711</v>
      </c>
    </row>
    <row r="86" spans="2:11">
      <c r="B86" s="5">
        <v>96</v>
      </c>
      <c r="C86" s="50">
        <v>128.28321150702794</v>
      </c>
      <c r="D86" s="6">
        <v>20.011675438386312</v>
      </c>
      <c r="E86" s="6">
        <v>16.003398469514622</v>
      </c>
      <c r="F86" s="50">
        <v>18.007536953950467</v>
      </c>
      <c r="G86" s="50"/>
      <c r="H86" s="6"/>
      <c r="I86" s="52">
        <v>0.74834422113559795</v>
      </c>
      <c r="J86" s="6">
        <f t="shared" si="24"/>
        <v>74</v>
      </c>
      <c r="K86" s="6">
        <f t="shared" si="25"/>
        <v>73.738447874172337</v>
      </c>
    </row>
    <row r="87" spans="2:11">
      <c r="B87" s="5">
        <v>97</v>
      </c>
      <c r="C87" s="50">
        <v>129.46769301680052</v>
      </c>
      <c r="D87" s="6">
        <v>20.221597202405267</v>
      </c>
      <c r="E87" s="6">
        <v>16.099257907051943</v>
      </c>
      <c r="F87" s="50">
        <v>18.160427554728606</v>
      </c>
      <c r="G87" s="50"/>
      <c r="H87" s="6"/>
      <c r="I87" s="52">
        <v>0.74922166093909381</v>
      </c>
      <c r="J87" s="6">
        <f t="shared" si="24"/>
        <v>74.086765613503587</v>
      </c>
      <c r="K87" s="6">
        <f t="shared" si="25"/>
        <v>73.824906815639977</v>
      </c>
    </row>
    <row r="88" spans="2:11">
      <c r="B88" s="5">
        <v>98</v>
      </c>
      <c r="C88" s="50">
        <v>130.64940339613941</v>
      </c>
      <c r="D88" s="6">
        <v>20.43153411623155</v>
      </c>
      <c r="E88" s="6">
        <v>16.194699530822238</v>
      </c>
      <c r="F88" s="50">
        <v>18.313116823526894</v>
      </c>
      <c r="G88" s="50"/>
      <c r="H88" s="6"/>
      <c r="I88" s="52">
        <v>0.75009910074258968</v>
      </c>
      <c r="J88" s="6">
        <f t="shared" si="24"/>
        <v>74.173531227007174</v>
      </c>
      <c r="K88" s="6">
        <f t="shared" si="25"/>
        <v>73.911365757107603</v>
      </c>
    </row>
    <row r="89" spans="2:11">
      <c r="B89" s="5">
        <v>99</v>
      </c>
      <c r="C89" s="50">
        <v>131.82835235839786</v>
      </c>
      <c r="D89" s="6">
        <v>20.641486026346577</v>
      </c>
      <c r="E89" s="6">
        <v>16.289729397744711</v>
      </c>
      <c r="F89" s="50">
        <v>18.465607712045646</v>
      </c>
      <c r="G89" s="50"/>
      <c r="H89" s="6"/>
      <c r="I89" s="52">
        <v>0.75097654054608542</v>
      </c>
      <c r="J89" s="6">
        <f t="shared" si="24"/>
        <v>74.260296840510748</v>
      </c>
      <c r="K89" s="6">
        <f t="shared" si="25"/>
        <v>73.997824698575229</v>
      </c>
    </row>
    <row r="90" spans="2:11">
      <c r="B90" s="5">
        <v>100</v>
      </c>
      <c r="C90" s="50">
        <v>133.00454957158581</v>
      </c>
      <c r="D90" s="6">
        <v>20.851452782322603</v>
      </c>
      <c r="E90" s="6">
        <v>16.384353416763961</v>
      </c>
      <c r="F90" s="50">
        <v>18.617903099543284</v>
      </c>
      <c r="G90" s="50"/>
      <c r="H90" s="6"/>
      <c r="I90" s="52">
        <v>0.75185398034958129</v>
      </c>
      <c r="J90" s="6">
        <f t="shared" si="24"/>
        <v>74.347062454014335</v>
      </c>
      <c r="K90" s="6">
        <f t="shared" si="25"/>
        <v>74.084283640042855</v>
      </c>
    </row>
    <row r="91" spans="2:11">
      <c r="B91" s="5">
        <v>101</v>
      </c>
      <c r="C91" s="50">
        <v>134.17800465863434</v>
      </c>
      <c r="D91" s="6">
        <v>21.061434236730111</v>
      </c>
      <c r="E91" s="6">
        <v>16.478577353905742</v>
      </c>
      <c r="F91" s="50">
        <v>18.770005795317928</v>
      </c>
      <c r="G91" s="50"/>
      <c r="H91" s="6"/>
      <c r="I91" s="52">
        <v>0.75273142015307704</v>
      </c>
      <c r="J91" s="6">
        <f t="shared" si="24"/>
        <v>74.433828067517908</v>
      </c>
      <c r="K91" s="6">
        <f t="shared" si="25"/>
        <v>74.170742581510481</v>
      </c>
    </row>
    <row r="92" spans="2:11">
      <c r="B92" s="5">
        <v>102</v>
      </c>
      <c r="C92" s="50">
        <v>135.34872719765769</v>
      </c>
      <c r="D92" s="6">
        <v>21.27143024504899</v>
      </c>
      <c r="E92" s="6">
        <v>16.572406837111849</v>
      </c>
      <c r="F92" s="50">
        <v>18.921918541080419</v>
      </c>
      <c r="G92" s="50"/>
      <c r="H92" s="6"/>
      <c r="I92" s="52">
        <v>0.7536088599565729</v>
      </c>
      <c r="J92" s="6">
        <f t="shared" si="24"/>
        <v>74.520593681021495</v>
      </c>
      <c r="K92" s="6">
        <f t="shared" si="25"/>
        <v>74.257201522978107</v>
      </c>
    </row>
    <row r="93" spans="2:11">
      <c r="B93" s="5">
        <v>103</v>
      </c>
      <c r="C93" s="50">
        <v>136.51672672221434</v>
      </c>
      <c r="D93" s="6">
        <v>21.481440665583278</v>
      </c>
      <c r="E93" s="6">
        <v>16.665847360865602</v>
      </c>
      <c r="F93" s="50">
        <v>19.073644013224438</v>
      </c>
      <c r="G93" s="50"/>
      <c r="H93" s="6"/>
      <c r="I93" s="52">
        <v>0.75448629976006876</v>
      </c>
      <c r="J93" s="6">
        <f t="shared" si="24"/>
        <v>74.607359294525082</v>
      </c>
      <c r="K93" s="6">
        <f t="shared" si="25"/>
        <v>74.343660464445747</v>
      </c>
    </row>
    <row r="94" spans="2:11">
      <c r="B94" s="5">
        <v>104</v>
      </c>
      <c r="C94" s="50">
        <v>137.68201272156554</v>
      </c>
      <c r="D94" s="6">
        <v>21.69146535937886</v>
      </c>
      <c r="E94" s="6">
        <v>16.758904290619089</v>
      </c>
      <c r="F94" s="50">
        <v>19.225184824998976</v>
      </c>
      <c r="G94" s="50"/>
      <c r="H94" s="6"/>
      <c r="I94" s="52">
        <v>0.75536373956356451</v>
      </c>
      <c r="J94" s="6">
        <f t="shared" si="24"/>
        <v>74.694124908028655</v>
      </c>
      <c r="K94" s="6">
        <f t="shared" si="25"/>
        <v>74.430119405913359</v>
      </c>
    </row>
    <row r="95" spans="2:11">
      <c r="B95" s="5">
        <v>105</v>
      </c>
      <c r="C95" s="50">
        <v>138.84459464093223</v>
      </c>
      <c r="D95" s="6">
        <v>21.901504190144763</v>
      </c>
      <c r="E95" s="6">
        <v>16.851582867032572</v>
      </c>
      <c r="F95" s="50">
        <v>19.37654352858867</v>
      </c>
      <c r="G95" s="50"/>
      <c r="H95" s="6"/>
      <c r="I95" s="52">
        <v>0.75624117936706026</v>
      </c>
      <c r="J95" s="6">
        <f t="shared" si="24"/>
        <v>74.780890521532228</v>
      </c>
      <c r="K95" s="6">
        <f t="shared" si="25"/>
        <v>74.516578347380985</v>
      </c>
    </row>
    <row r="96" spans="2:11">
      <c r="B96" s="5">
        <v>106</v>
      </c>
      <c r="C96" s="50">
        <v>140.00448188175039</v>
      </c>
      <c r="D96" s="6">
        <v>22.111557024177106</v>
      </c>
      <c r="E96" s="6">
        <v>16.943888210035503</v>
      </c>
      <c r="F96" s="50">
        <v>19.527722617106306</v>
      </c>
      <c r="G96" s="50"/>
      <c r="H96" s="6"/>
      <c r="I96" s="52">
        <v>0.75711861917055612</v>
      </c>
      <c r="J96" s="6">
        <f t="shared" si="24"/>
        <v>74.867656135035816</v>
      </c>
      <c r="K96" s="6">
        <f t="shared" si="25"/>
        <v>74.603037288848611</v>
      </c>
    </row>
    <row r="97" spans="2:11">
      <c r="B97" s="5">
        <v>107</v>
      </c>
      <c r="C97" s="50">
        <v>141.16168380192445</v>
      </c>
      <c r="D97" s="6">
        <v>22.321623730286092</v>
      </c>
      <c r="E97" s="6">
        <v>17.035825322718448</v>
      </c>
      <c r="F97" s="50">
        <v>19.678724526502272</v>
      </c>
      <c r="G97" s="50"/>
      <c r="H97" s="6"/>
      <c r="I97" s="52">
        <v>0.75799605897405198</v>
      </c>
      <c r="J97" s="6">
        <f t="shared" si="24"/>
        <v>74.954421748539403</v>
      </c>
      <c r="K97" s="6">
        <f t="shared" si="25"/>
        <v>74.689496230316252</v>
      </c>
    </row>
    <row r="98" spans="2:11">
      <c r="B98" s="5">
        <v>108</v>
      </c>
      <c r="C98" s="50">
        <v>142.31620971607887</v>
      </c>
      <c r="D98" s="6">
        <v>22.531704179725708</v>
      </c>
      <c r="E98" s="6">
        <v>17.127399095064437</v>
      </c>
      <c r="F98" s="50">
        <v>19.82955163739507</v>
      </c>
      <c r="G98" s="50"/>
      <c r="H98" s="6"/>
      <c r="I98" s="52">
        <v>0.75887349877754773</v>
      </c>
      <c r="J98" s="6">
        <f t="shared" si="24"/>
        <v>75.041187362042976</v>
      </c>
      <c r="K98" s="6">
        <f t="shared" si="25"/>
        <v>74.775955171783863</v>
      </c>
    </row>
    <row r="99" spans="2:11">
      <c r="B99" s="5">
        <v>109</v>
      </c>
      <c r="C99" s="50">
        <v>143.46806889580807</v>
      </c>
      <c r="D99" s="6">
        <v>22.741798246125917</v>
      </c>
      <c r="E99" s="6">
        <v>17.218614307527691</v>
      </c>
      <c r="F99" s="50">
        <v>19.980206276826806</v>
      </c>
      <c r="G99" s="50"/>
      <c r="H99" s="6"/>
      <c r="I99" s="52">
        <v>0.75975093858104359</v>
      </c>
      <c r="J99" s="6">
        <f t="shared" si="24"/>
        <v>75.127952975546563</v>
      </c>
      <c r="K99" s="6">
        <f t="shared" si="25"/>
        <v>74.862414113251504</v>
      </c>
    </row>
    <row r="100" spans="2:11">
      <c r="B100" s="5">
        <v>110</v>
      </c>
      <c r="C100" s="50">
        <v>144.61727056992473</v>
      </c>
      <c r="D100" s="6">
        <v>22.951905805427518</v>
      </c>
      <c r="E100" s="6">
        <v>17.309475634467464</v>
      </c>
      <c r="F100" s="50">
        <v>20.130690719947491</v>
      </c>
      <c r="G100" s="50"/>
      <c r="H100" s="6"/>
      <c r="I100" s="52">
        <v>0.76062837838453934</v>
      </c>
      <c r="J100" s="6">
        <f t="shared" si="24"/>
        <v>75.21471858905015</v>
      </c>
      <c r="K100" s="6">
        <f t="shared" si="25"/>
        <v>74.94887305471913</v>
      </c>
    </row>
    <row r="101" spans="2:11">
      <c r="B101" s="5">
        <v>111</v>
      </c>
      <c r="C101" s="50">
        <v>145.76382392470609</v>
      </c>
      <c r="D101" s="6">
        <v>23.162026735819119</v>
      </c>
      <c r="E101" s="6">
        <v>17.399987647444007</v>
      </c>
      <c r="F101" s="50">
        <v>20.281007191631563</v>
      </c>
      <c r="G101" s="50"/>
      <c r="H101" s="6"/>
      <c r="I101" s="52">
        <v>0.7615058181880352</v>
      </c>
      <c r="J101" s="6">
        <f t="shared" si="24"/>
        <v>75.301484202553723</v>
      </c>
      <c r="K101" s="6">
        <f t="shared" si="25"/>
        <v>75.035331996186756</v>
      </c>
    </row>
    <row r="102" spans="2:11">
      <c r="B102" s="5">
        <v>112</v>
      </c>
      <c r="C102" s="50">
        <v>146.9077381041389</v>
      </c>
      <c r="D102" s="6">
        <v>23.372160917676677</v>
      </c>
      <c r="E102" s="6">
        <v>17.49015481838342</v>
      </c>
      <c r="F102" s="50">
        <v>20.431157868030049</v>
      </c>
      <c r="G102" s="50"/>
      <c r="H102" s="6"/>
      <c r="I102" s="52">
        <v>0.76238325799153106</v>
      </c>
      <c r="J102" s="6">
        <f t="shared" si="24"/>
        <v>75.388249816057311</v>
      </c>
      <c r="K102" s="6">
        <f t="shared" si="25"/>
        <v>75.121790937654382</v>
      </c>
    </row>
    <row r="103" spans="2:11">
      <c r="B103" s="5">
        <v>113</v>
      </c>
      <c r="C103" s="50">
        <v>148.04902221016243</v>
      </c>
      <c r="D103" s="6">
        <v>23.582308233504943</v>
      </c>
      <c r="E103" s="6">
        <v>17.579981522617746</v>
      </c>
      <c r="F103" s="50">
        <v>20.581144878061345</v>
      </c>
      <c r="G103" s="50"/>
      <c r="H103" s="6"/>
      <c r="I103" s="52">
        <v>0.76326069779502681</v>
      </c>
      <c r="J103" s="6">
        <f t="shared" si="24"/>
        <v>75.475015429560884</v>
      </c>
      <c r="K103" s="6">
        <f t="shared" si="25"/>
        <v>75.208249879122008</v>
      </c>
    </row>
    <row r="104" spans="2:11">
      <c r="B104" s="5">
        <v>114</v>
      </c>
      <c r="C104" s="50">
        <v>149.18768530290981</v>
      </c>
      <c r="D104" s="6">
        <v>23.792468567881055</v>
      </c>
      <c r="E104" s="6">
        <v>17.66947204180623</v>
      </c>
      <c r="F104" s="50">
        <v>20.730970304843645</v>
      </c>
      <c r="G104" s="50"/>
      <c r="H104" s="6"/>
      <c r="I104" s="52">
        <v>0.76413813759852267</v>
      </c>
      <c r="J104" s="6">
        <f t="shared" si="24"/>
        <v>75.561781043064471</v>
      </c>
      <c r="K104" s="6">
        <f t="shared" si="25"/>
        <v>75.294708820589634</v>
      </c>
    </row>
    <row r="105" spans="2:11">
      <c r="B105" s="5">
        <v>115</v>
      </c>
      <c r="C105" s="50">
        <v>150.32373640094792</v>
      </c>
      <c r="D105" s="6">
        <v>24.002641807400256</v>
      </c>
      <c r="E105" s="6">
        <v>17.758630566743491</v>
      </c>
      <c r="F105" s="50">
        <v>20.880636187071872</v>
      </c>
      <c r="G105" s="50"/>
      <c r="H105" s="6"/>
      <c r="I105" s="52">
        <v>0.76501557740201842</v>
      </c>
      <c r="J105" s="6">
        <f t="shared" si="24"/>
        <v>75.648546656568044</v>
      </c>
      <c r="K105" s="6">
        <f t="shared" si="25"/>
        <v>75.38116776205726</v>
      </c>
    </row>
    <row r="106" spans="2:11">
      <c r="B106" s="5">
        <v>116</v>
      </c>
      <c r="C106" s="50">
        <v>151.45718448151536</v>
      </c>
      <c r="D106" s="6">
        <v>24.212827840623181</v>
      </c>
      <c r="E106" s="6">
        <v>17.847461200059801</v>
      </c>
      <c r="F106" s="50">
        <v>21.030144520341491</v>
      </c>
      <c r="G106" s="50"/>
      <c r="H106" s="6"/>
      <c r="I106" s="52">
        <v>0.76589301720551428</v>
      </c>
      <c r="J106" s="6">
        <f t="shared" si="24"/>
        <v>75.735312270071631</v>
      </c>
      <c r="K106" s="6">
        <f t="shared" si="25"/>
        <v>75.467626703524886</v>
      </c>
    </row>
    <row r="107" spans="2:11">
      <c r="B107" s="5">
        <v>117</v>
      </c>
      <c r="C107" s="50">
        <v>152.58803848075902</v>
      </c>
      <c r="D107" s="6">
        <v>24.423026558025349</v>
      </c>
      <c r="E107" s="6">
        <v>17.935967958818601</v>
      </c>
      <c r="F107" s="50">
        <v>21.179497258421975</v>
      </c>
      <c r="G107" s="50"/>
      <c r="H107" s="6"/>
      <c r="I107" s="52">
        <v>0.76677045700901003</v>
      </c>
      <c r="J107" s="6">
        <f t="shared" si="24"/>
        <v>75.822077883575218</v>
      </c>
      <c r="K107" s="6">
        <f t="shared" si="25"/>
        <v>75.554085644992526</v>
      </c>
    </row>
    <row r="108" spans="2:11">
      <c r="B108" s="5">
        <v>118</v>
      </c>
      <c r="C108" s="50">
        <v>153.71630729396878</v>
      </c>
      <c r="D108" s="6">
        <v>24.633237851947925</v>
      </c>
      <c r="E108" s="6">
        <v>18.024154777015983</v>
      </c>
      <c r="F108" s="50">
        <v>21.328696314481952</v>
      </c>
      <c r="G108" s="50"/>
      <c r="H108" s="6"/>
      <c r="I108" s="52">
        <v>0.76764789681250589</v>
      </c>
      <c r="J108" s="6">
        <f t="shared" si="24"/>
        <v>75.908843497078792</v>
      </c>
      <c r="K108" s="6">
        <f t="shared" si="25"/>
        <v>75.640544586460138</v>
      </c>
    </row>
    <row r="109" spans="2:11">
      <c r="B109" s="5">
        <v>119</v>
      </c>
      <c r="C109" s="50">
        <v>154.84199977581099</v>
      </c>
      <c r="D109" s="6">
        <v>24.843461616550663</v>
      </c>
      <c r="E109" s="6">
        <v>18.112025507986587</v>
      </c>
      <c r="F109" s="50">
        <v>21.477743562268625</v>
      </c>
      <c r="G109" s="50"/>
      <c r="H109" s="6"/>
      <c r="I109" s="52">
        <v>0.76852533661600164</v>
      </c>
      <c r="J109" s="6">
        <f t="shared" si="24"/>
        <v>75.995609110582379</v>
      </c>
      <c r="K109" s="6">
        <f t="shared" si="25"/>
        <v>75.727003527927778</v>
      </c>
    </row>
    <row r="110" spans="2:11">
      <c r="B110" s="5">
        <v>120</v>
      </c>
      <c r="C110" s="50">
        <v>155.96512474055984</v>
      </c>
      <c r="D110" s="6">
        <v>25.053697747765945</v>
      </c>
      <c r="E110" s="6">
        <v>18.199583926720305</v>
      </c>
      <c r="F110" s="50">
        <v>21.626640837243123</v>
      </c>
      <c r="G110" s="50"/>
      <c r="H110" s="6"/>
      <c r="I110" s="52">
        <v>0.7694027764194975</v>
      </c>
      <c r="J110" s="6">
        <f t="shared" si="24"/>
        <v>76.082374724085952</v>
      </c>
      <c r="K110" s="6">
        <f t="shared" si="25"/>
        <v>75.81346246939539</v>
      </c>
    </row>
  </sheetData>
  <mergeCells count="10">
    <mergeCell ref="D69:F69"/>
    <mergeCell ref="I69:I70"/>
    <mergeCell ref="A1:O1"/>
    <mergeCell ref="A2:A4"/>
    <mergeCell ref="B2:G3"/>
    <mergeCell ref="J2:K3"/>
    <mergeCell ref="B54:E54"/>
    <mergeCell ref="B55:E55"/>
    <mergeCell ref="G54:J54"/>
    <mergeCell ref="G55:J5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AD216-5361-B046-AC42-2C036C539838}">
  <sheetPr codeName="Sheet11">
    <tabColor rgb="FFFF0000"/>
  </sheetPr>
  <dimension ref="A1:P94"/>
  <sheetViews>
    <sheetView zoomScale="85" zoomScaleNormal="85" workbookViewId="0">
      <selection activeCell="G36" sqref="G36"/>
    </sheetView>
  </sheetViews>
  <sheetFormatPr defaultColWidth="10.625" defaultRowHeight="15.75"/>
  <cols>
    <col min="1" max="1" width="66.125" bestFit="1" customWidth="1"/>
    <col min="2" max="2" width="11.125" customWidth="1"/>
    <col min="3" max="3" width="11.625" bestFit="1" customWidth="1"/>
    <col min="4" max="4" width="11" bestFit="1" customWidth="1"/>
    <col min="5" max="6" width="11.625" bestFit="1" customWidth="1"/>
    <col min="7" max="7" width="11.625" customWidth="1"/>
    <col min="10" max="10" width="48.625" bestFit="1" customWidth="1"/>
    <col min="13" max="13" width="10.625" customWidth="1"/>
  </cols>
  <sheetData>
    <row r="1" spans="1:16" ht="21">
      <c r="A1" s="312" t="s">
        <v>27</v>
      </c>
      <c r="B1" s="312"/>
      <c r="C1" s="312"/>
      <c r="D1" s="312"/>
      <c r="E1" s="312"/>
      <c r="F1" s="312"/>
      <c r="G1" s="312"/>
      <c r="H1" s="312"/>
      <c r="I1" s="312"/>
      <c r="J1" s="312"/>
      <c r="K1" s="312"/>
      <c r="L1" s="312"/>
      <c r="M1" s="312"/>
      <c r="N1" s="312"/>
      <c r="O1" s="312"/>
    </row>
    <row r="2" spans="1:16">
      <c r="A2" s="313" t="s">
        <v>28</v>
      </c>
      <c r="B2" s="315" t="s">
        <v>29</v>
      </c>
      <c r="C2" s="315"/>
      <c r="D2" s="315"/>
      <c r="E2" s="315"/>
      <c r="F2" s="315"/>
      <c r="G2" s="315"/>
      <c r="H2" s="2"/>
      <c r="I2" s="2"/>
      <c r="J2" s="315" t="s">
        <v>30</v>
      </c>
      <c r="K2" s="315"/>
      <c r="L2" s="82"/>
      <c r="M2" s="2"/>
      <c r="N2" s="2"/>
      <c r="O2" s="2"/>
    </row>
    <row r="3" spans="1:16">
      <c r="A3" s="313"/>
      <c r="B3" s="315"/>
      <c r="C3" s="315"/>
      <c r="D3" s="315"/>
      <c r="E3" s="315"/>
      <c r="F3" s="315"/>
      <c r="G3" s="315"/>
      <c r="H3" s="2"/>
      <c r="I3" s="2"/>
      <c r="J3" s="315"/>
      <c r="K3" s="315"/>
      <c r="L3" s="82"/>
      <c r="M3" s="2"/>
      <c r="N3" s="2"/>
      <c r="O3" s="2"/>
    </row>
    <row r="4" spans="1:16">
      <c r="A4" s="313"/>
      <c r="B4" s="77">
        <v>1</v>
      </c>
      <c r="C4" s="77">
        <v>2</v>
      </c>
      <c r="D4" s="77">
        <v>3</v>
      </c>
      <c r="E4" s="77">
        <v>4</v>
      </c>
      <c r="F4" s="77">
        <v>5</v>
      </c>
      <c r="G4" s="77">
        <v>6</v>
      </c>
      <c r="H4" s="2"/>
      <c r="I4" s="2"/>
      <c r="J4" s="2" t="s">
        <v>28</v>
      </c>
      <c r="K4" s="2" t="s">
        <v>31</v>
      </c>
      <c r="L4" s="2">
        <v>2</v>
      </c>
      <c r="M4" s="2">
        <v>3</v>
      </c>
      <c r="N4" s="2">
        <v>4</v>
      </c>
      <c r="O4" s="2">
        <v>5</v>
      </c>
      <c r="P4" s="2">
        <v>6</v>
      </c>
    </row>
    <row r="5" spans="1:16">
      <c r="A5" t="s">
        <v>76</v>
      </c>
      <c r="B5" s="3">
        <f>'Finisher Model - ME Imperial'!C15</f>
        <v>50</v>
      </c>
      <c r="C5" s="3">
        <f>'Finisher Model - ME Imperial'!C16</f>
        <v>90</v>
      </c>
      <c r="D5" s="3">
        <f>'Finisher Model - ME Imperial'!C17</f>
        <v>130</v>
      </c>
      <c r="E5" s="3">
        <f>'Finisher Model - ME Imperial'!C18</f>
        <v>180</v>
      </c>
      <c r="F5" s="3">
        <f>'Finisher Model - ME Imperial'!C19</f>
        <v>230</v>
      </c>
      <c r="G5" s="3" t="str">
        <f>'Finisher Model - ME Imperial'!C20</f>
        <v/>
      </c>
      <c r="J5" t="s">
        <v>42</v>
      </c>
      <c r="K5" s="76">
        <f>IF('Finisher Model - ME Imperial'!$E$11=2,L5,IF('Finisher Model - ME Imperial'!$E$11=3,M5,IF('Finisher Model - ME Imperial'!$E$11=4,N5,IF('Finisher Model - ME Imperial'!$E$11=5,O5,IF('Finisher Model - ME Imperial'!$E$11=6,P5,"")))))</f>
        <v>2.1528559091960253</v>
      </c>
      <c r="L5">
        <f>((SUM(B19:C19)/SUM(B16:C16)))</f>
        <v>2.1528686024925898</v>
      </c>
      <c r="M5">
        <f>((SUM(B19:D19)/SUM(B16:D16)))</f>
        <v>2.1527964188056625</v>
      </c>
      <c r="N5">
        <f>SUM(B19:E19)/SUM(B16:E16)</f>
        <v>2.1527082475747257</v>
      </c>
      <c r="O5">
        <f>SUM(B19:F19)/SUM(B16:F16)</f>
        <v>2.1528559091960253</v>
      </c>
      <c r="P5" t="e">
        <f>SUM(B19:G19)/SUM(B16:G16)</f>
        <v>#VALUE!</v>
      </c>
    </row>
    <row r="6" spans="1:16">
      <c r="A6" t="s">
        <v>77</v>
      </c>
      <c r="B6" s="3">
        <f>'Finisher Model - ME Imperial'!D15</f>
        <v>90</v>
      </c>
      <c r="C6" s="3">
        <f>'Finisher Model - ME Imperial'!D16</f>
        <v>130</v>
      </c>
      <c r="D6" s="3">
        <f>'Finisher Model - ME Imperial'!D17</f>
        <v>180</v>
      </c>
      <c r="E6" s="3">
        <f>'Finisher Model - ME Imperial'!D18</f>
        <v>230</v>
      </c>
      <c r="F6" s="3">
        <f>'Finisher Model - ME Imperial'!D19</f>
        <v>285</v>
      </c>
      <c r="G6" s="3">
        <f>'Finisher Model - ME Imperial'!D20</f>
        <v>0</v>
      </c>
      <c r="J6" t="s">
        <v>43</v>
      </c>
      <c r="K6" s="76">
        <f>IF('Finisher Model - ME Imperial'!$E$11=2,L6,IF('Finisher Model - ME Imperial'!$E$11=3,M6,IF('Finisher Model - ME Imperial'!$E$11=4,N6,IF('Finisher Model - ME Imperial'!$E$11=5,O6,IF('Finisher Model - ME Imperial'!$E$11=6,P6,"")))))</f>
        <v>2.4898116538024295</v>
      </c>
      <c r="L6">
        <f>SUM($B$17:$C$17)/SUM($B$19:$C$19)</f>
        <v>1.9084695697645297</v>
      </c>
      <c r="M6">
        <f>SUM($B$17:$D$17)/SUM($B$19:$D$19)</f>
        <v>2.0831622720379879</v>
      </c>
      <c r="N6">
        <f>SUM($B$17:$E$17)/SUM($B$19:$E$19)</f>
        <v>2.2604543332234734</v>
      </c>
      <c r="O6">
        <f>SUM($B$17:$F$17)/SUM($B$19:$F$19)</f>
        <v>2.4898116538024295</v>
      </c>
      <c r="P6" t="e">
        <f>SUM($B$17:$G$17)/SUM($B$19:$G$19)</f>
        <v>#VALUE!</v>
      </c>
    </row>
    <row r="7" spans="1:16">
      <c r="A7" t="s">
        <v>78</v>
      </c>
      <c r="B7" s="3">
        <f>B6-B5</f>
        <v>40</v>
      </c>
      <c r="C7" s="3">
        <f t="shared" ref="C7:E7" si="0">C6-C5</f>
        <v>40</v>
      </c>
      <c r="D7" s="3">
        <f t="shared" si="0"/>
        <v>50</v>
      </c>
      <c r="E7" s="3">
        <f t="shared" si="0"/>
        <v>50</v>
      </c>
      <c r="F7" s="3">
        <f>F6-F5</f>
        <v>55</v>
      </c>
      <c r="G7" s="3" t="e">
        <f>G6-G5</f>
        <v>#VALUE!</v>
      </c>
      <c r="J7" t="s">
        <v>44</v>
      </c>
      <c r="K7" s="76">
        <f>IF('Finisher Model - ME Imperial'!$E$11=2,L7,IF('Finisher Model - ME Imperial'!$E$11=3,M7,IF('Finisher Model - ME Imperial'!$E$11=4,N7,IF('Finisher Model - ME Imperial'!$E$11=5,O7,IF('Finisher Model - ME Imperial'!$E$11=6,P7,"")))))</f>
        <v>5.3602057316736893</v>
      </c>
      <c r="L7" s="24">
        <f>SUM(B17:C17)/SUM(B16:C16)</f>
        <v>4.108684215558597</v>
      </c>
      <c r="M7" s="24">
        <f>SUM(B17:D17)/SUM(B16:D16)</f>
        <v>4.4846242790344473</v>
      </c>
      <c r="N7" s="24">
        <f>SUM(B17:E17)/SUM(B16:E16)</f>
        <v>4.8660986863961995</v>
      </c>
      <c r="O7" s="11">
        <f>SUM(B17:F17)/SUM(B16:F16)</f>
        <v>5.3602057316736893</v>
      </c>
      <c r="P7" s="11" t="e">
        <f>SUM(B17:G17)/SUM(B16:G16)</f>
        <v>#VALUE!</v>
      </c>
    </row>
    <row r="8" spans="1:16">
      <c r="A8" t="s">
        <v>32</v>
      </c>
      <c r="B8" s="4">
        <f>'Finisher Model - ME Imperial'!H15</f>
        <v>3306.93</v>
      </c>
      <c r="C8" s="4">
        <f>'Finisher Model - ME Imperial'!H16</f>
        <v>3306.93</v>
      </c>
      <c r="D8" s="4">
        <f>'Finisher Model - ME Imperial'!H17</f>
        <v>3315.7484799999997</v>
      </c>
      <c r="E8" s="4">
        <f>'Finisher Model - ME Imperial'!H18</f>
        <v>3320.1577199999997</v>
      </c>
      <c r="F8" s="4">
        <f>'Finisher Model - ME Imperial'!H19</f>
        <v>3324.5669599999997</v>
      </c>
      <c r="G8" s="4">
        <f>'Finisher Model - ME Imperial'!H20</f>
        <v>0</v>
      </c>
      <c r="J8" t="s">
        <v>45</v>
      </c>
      <c r="K8" s="76">
        <f>IF('Finisher Model - ME Imperial'!$E$11=2,L8,IF('Finisher Model - ME Imperial'!$E$11=3,M8,IF('Finisher Model - ME Imperial'!$E$11=4,N8,IF('Finisher Model - ME Imperial'!$E$11=5,O8,IF('Finisher Model - ME Imperial'!$E$11=6,P8,"")))))</f>
        <v>110.18813048113459</v>
      </c>
      <c r="L8" s="11">
        <f>SUM(B16:C16)</f>
        <v>37.591770832637934</v>
      </c>
      <c r="M8">
        <f>SUM(B16:D16)</f>
        <v>61.120622119131752</v>
      </c>
      <c r="N8">
        <f>SUM(B16:E16)</f>
        <v>84.572046319702991</v>
      </c>
      <c r="O8">
        <f>SUM(B16:F16)</f>
        <v>110.18813048113459</v>
      </c>
      <c r="P8" s="11" t="e">
        <f>SUM(B16:G16)</f>
        <v>#VALUE!</v>
      </c>
    </row>
    <row r="9" spans="1:16">
      <c r="A9" t="s">
        <v>33</v>
      </c>
      <c r="B9" s="5">
        <f>'Finisher Model - ME Imperial'!J15</f>
        <v>279.72000000000003</v>
      </c>
      <c r="C9" s="5">
        <f>'Finisher Model - ME Imperial'!J16</f>
        <v>263.02</v>
      </c>
      <c r="D9" s="5">
        <f>'Finisher Model - ME Imperial'!J17</f>
        <v>249.4</v>
      </c>
      <c r="E9" s="5">
        <f>'Finisher Model - ME Imperial'!J18</f>
        <v>238.86</v>
      </c>
      <c r="F9" s="5">
        <f>'Finisher Model - ME Imperial'!J19</f>
        <v>232.35</v>
      </c>
      <c r="G9" s="5">
        <f>'Finisher Model - ME Imperial'!J20</f>
        <v>0</v>
      </c>
      <c r="J9" t="s">
        <v>46</v>
      </c>
      <c r="K9" s="76">
        <f>IF('Finisher Model - ME Imperial'!$E$11=2,L9,IF('Finisher Model - ME Imperial'!$E$11=3,M9,IF('Finisher Model - ME Imperial'!$E$11=4,N9,IF('Finisher Model - ME Imperial'!$E$11=5,O9,IF('Finisher Model - ME Imperial'!$E$11=6,P9,"")))))</f>
        <v>590.63104856738596</v>
      </c>
      <c r="L9" s="24">
        <f>SUM(B17:C17)</f>
        <v>154.45271545495555</v>
      </c>
      <c r="M9" s="24">
        <f>SUM(B17:D17)</f>
        <v>274.10302590514812</v>
      </c>
      <c r="N9" s="24">
        <f>SUM(B17:E17)</f>
        <v>411.53592350214524</v>
      </c>
      <c r="O9" s="24">
        <f>SUM(B17:F17)</f>
        <v>590.63104856738596</v>
      </c>
      <c r="P9" s="24">
        <f>SUM(B17:G17)</f>
        <v>590.63104856738596</v>
      </c>
    </row>
    <row r="10" spans="1:16">
      <c r="A10" t="s">
        <v>79</v>
      </c>
      <c r="B10" s="3">
        <f>AVERAGE(B5:B6)</f>
        <v>70</v>
      </c>
      <c r="C10" s="3">
        <f t="shared" ref="C10:F10" si="1">AVERAGE(C5:C6)</f>
        <v>110</v>
      </c>
      <c r="D10" s="3">
        <f t="shared" si="1"/>
        <v>155</v>
      </c>
      <c r="E10" s="3">
        <f t="shared" si="1"/>
        <v>205</v>
      </c>
      <c r="F10" s="3">
        <f t="shared" si="1"/>
        <v>257.5</v>
      </c>
      <c r="G10" s="3">
        <f>AVERAGE(G5:G6)</f>
        <v>0</v>
      </c>
      <c r="J10" s="17" t="s">
        <v>47</v>
      </c>
      <c r="K10" s="76">
        <f>IF('Finisher Model - ME Imperial'!$E$11=2,L10,IF('Finisher Model - ME Imperial'!$E$11=3,M10,IF('Finisher Model - ME Imperial'!$E$11=4,N10,IF('Finisher Model - ME Imperial'!$E$11=5,O10,IF('Finisher Model - ME Imperial'!$E$11=6,P10,"")))))</f>
        <v>73.049782451252099</v>
      </c>
      <c r="L10" s="15">
        <f>SUM(B18:C18)</f>
        <v>20.90940162364938</v>
      </c>
      <c r="M10" s="15">
        <f>SUM(B18:D18)</f>
        <v>35.829795336788393</v>
      </c>
      <c r="N10" s="17">
        <f>SUM(B18:E18)</f>
        <v>52.243406296797758</v>
      </c>
      <c r="O10" s="17">
        <f>SUM(B18:F18)</f>
        <v>73.049782451252099</v>
      </c>
      <c r="P10" s="15" t="e">
        <f>SUM(B18:G18)</f>
        <v>#VALUE!</v>
      </c>
    </row>
    <row r="11" spans="1:16" ht="16.5" thickBot="1">
      <c r="A11" t="s">
        <v>63</v>
      </c>
      <c r="B11" s="9">
        <f>IFERROR(651.36+531.33*'Finisher Model - ME Imperial'!Q17-216.9*('Finisher Model - ME Imperial'!Q17*'Finisher Model - ME Imperial'!Q17),"")</f>
        <v>976.32123719381764</v>
      </c>
      <c r="C11" s="9">
        <f>IFERROR(651.36+531.33*'Finisher Model - ME Imperial'!Q18-216.9*('Finisher Model - ME Imperial'!Q18*'Finisher Model - ME Imperial'!Q18),"")</f>
        <v>976.74852401410055</v>
      </c>
      <c r="D11" s="9">
        <f>IFERROR(651.36+531.33*'Finisher Model - ME Imperial'!Q19-216.9*('Finisher Model - ME Imperial'!Q19*'Finisher Model - ME Imperial'!Q19),"")</f>
        <v>976.44973771764433</v>
      </c>
      <c r="E11" s="9">
        <f>IFERROR(651.36+531.33*'Finisher Model - ME Imperial'!Q20-216.9*('Finisher Model - ME Imperial'!Q20*'Finisher Model - ME Imperial'!Q20),"")</f>
        <v>976.35782001110169</v>
      </c>
      <c r="F11" s="9">
        <f>IFERROR(651.36+531.33*'Finisher Model - ME Imperial'!Q22-216.9*('Finisher Model - ME Imperial'!Q22*'Finisher Model - ME Imperial'!Q22),"")</f>
        <v>976.75016655050342</v>
      </c>
      <c r="G11" s="9" t="str">
        <f>IFERROR(651.36+531.33*'Finisher Model - ME Imperial'!Q42-216.9*('Finisher Model - ME Imperial'!Q42*'Finisher Model - ME Imperial'!Q42),"")</f>
        <v/>
      </c>
      <c r="H11" s="23"/>
      <c r="J11" s="1" t="s">
        <v>48</v>
      </c>
      <c r="K11" s="20">
        <f>IF('Finisher Model - ME Imperial'!$E$11=2,L11,IF('Finisher Model - ME Imperial'!$E$11=3,M11,IF('Finisher Model - ME Imperial'!$E$11=4,N11,IF('Finisher Model - ME Imperial'!$E$11=5,O11,IF('Finisher Model - ME Imperial'!$E$11=6,P11,"")))))</f>
        <v>86.272358108988243</v>
      </c>
      <c r="L11" s="16">
        <f>SUM(B21:C21)</f>
        <v>25.420414123565934</v>
      </c>
      <c r="M11" s="16">
        <f>SUM(B21:D21)</f>
        <v>43.164269991084211</v>
      </c>
      <c r="N11" s="1">
        <f>SUM(B21:E21)</f>
        <v>62.392051855162123</v>
      </c>
      <c r="O11" s="1">
        <f>SUM(B21:F21)</f>
        <v>86.272358108988243</v>
      </c>
      <c r="P11" s="16" t="e">
        <f>SUM(B21:G21)</f>
        <v>#VALUE!</v>
      </c>
    </row>
    <row r="12" spans="1:16">
      <c r="A12" t="s">
        <v>64</v>
      </c>
      <c r="B12" s="9">
        <f>IFERROR(338.34+108.98*'Finisher Model - ME Imperial'!Q17-46.7864*('Finisher Model - ME Imperial'!Q17*'Finisher Model - ME Imperial'!Q17),"")</f>
        <v>401.28793672950354</v>
      </c>
      <c r="C12" s="9">
        <f>IFERROR(338.34+108.98*'Finisher Model - ME Imperial'!Q18-46.7864*('Finisher Model - ME Imperial'!Q18*'Finisher Model - ME Imperial'!Q18),"")</f>
        <v>401.65900732366316</v>
      </c>
      <c r="D12" s="9">
        <f>IFERROR(338.34+108.98*'Finisher Model - ME Imperial'!Q19-46.7864*('Finisher Model - ME Imperial'!Q19*'Finisher Model - ME Imperial'!Q19),"")</f>
        <v>401.77784534001239</v>
      </c>
      <c r="E12" s="9">
        <f>IFERROR(338.34+108.98*'Finisher Model - ME Imperial'!Q20-46.7864*('Finisher Model - ME Imperial'!Q20*'Finisher Model - ME Imperial'!Q20),"")</f>
        <v>401.78778610978617</v>
      </c>
      <c r="F12" s="9">
        <f>IFERROR(338.34+108.98*'Finisher Model - ME Imperial'!Q22-46.7864*('Finisher Model - ME Imperial'!Q22*'Finisher Model - ME Imperial'!Q22),"")</f>
        <v>401.6091661566378</v>
      </c>
      <c r="G12" s="9" t="str">
        <f>IFERROR(338.34+108.98*'Finisher Model - ME Imperial'!Q42-46.7864*('Finisher Model - ME Imperial'!Q42*'Finisher Model - ME Imperial'!Q42),"")</f>
        <v/>
      </c>
      <c r="J12" s="13" t="s">
        <v>55</v>
      </c>
      <c r="K12" s="76">
        <f>IF('Finisher Model - ME Imperial'!$E$11=2,L12,IF('Finisher Model - ME Imperial'!$E$11=3,M12,IF('Finisher Model - ME Imperial'!$E$11=4,N12,IF('Finisher Model - ME Imperial'!$E$11=5,O12,IF('Finisher Model - ME Imperial'!$E$11=6,P12,"")))))</f>
        <v>287.21916782957328</v>
      </c>
      <c r="L12" s="12">
        <f>SUM(B19:C19,'Finisher Model - ME Imperial'!C15)*'Finisher Model - ME Imperial'!E7</f>
        <v>130.93014313768293</v>
      </c>
      <c r="M12" s="12">
        <f>SUM(B19:D19,'Finisher Model - ME Imperial'!C15)*'Finisher Model - ME Imperial'!E7</f>
        <v>181.58025641324099</v>
      </c>
      <c r="N12" s="12">
        <f>SUM(B19:E19,'Finisher Model - ME Imperial'!C15)*'Finisher Model - ME Imperial'!E7</f>
        <v>232.05894162669637</v>
      </c>
      <c r="O12" s="12">
        <f>SUM(B19:F19,'Finisher Model - ME Imperial'!C15)*'Finisher Model - ME Imperial'!E7</f>
        <v>287.21916782957328</v>
      </c>
      <c r="P12" s="12" t="e">
        <f>SUM(B19:G19,'Finisher Model - ME Imperial'!C15)*'Finisher Model - ME Imperial'!E7</f>
        <v>#VALUE!</v>
      </c>
    </row>
    <row r="13" spans="1:16">
      <c r="A13" t="s">
        <v>65</v>
      </c>
      <c r="B13" s="6">
        <f t="shared" ref="B13:G13" si="2">(B11/B12)*1000</f>
        <v>2432.9693166229595</v>
      </c>
      <c r="C13" s="6">
        <f t="shared" si="2"/>
        <v>2431.7854354179121</v>
      </c>
      <c r="D13" s="6">
        <f t="shared" si="2"/>
        <v>2430.3225004636697</v>
      </c>
      <c r="E13" s="6">
        <f t="shared" si="2"/>
        <v>2430.033599240166</v>
      </c>
      <c r="F13" s="6">
        <f t="shared" si="2"/>
        <v>2432.0913187761907</v>
      </c>
      <c r="G13" s="6" t="e">
        <f t="shared" si="2"/>
        <v>#VALUE!</v>
      </c>
      <c r="J13" s="17" t="s">
        <v>49</v>
      </c>
      <c r="K13" s="76">
        <f>IF('Finisher Model - ME Imperial'!$E$11=2,L13,IF('Finisher Model - ME Imperial'!$E$11=3,M13,IF('Finisher Model - ME Imperial'!$E$11=4,N13,IF('Finisher Model - ME Imperial'!$E$11=5,O13,IF('Finisher Model - ME Imperial'!$E$11=6,P13,"")))))</f>
        <v>214.16938537832118</v>
      </c>
      <c r="L13" s="14">
        <f>L12-L10</f>
        <v>110.02074151403355</v>
      </c>
      <c r="M13" s="14">
        <f>M12-M10</f>
        <v>145.75046107645261</v>
      </c>
      <c r="N13" s="14">
        <f t="shared" ref="N13:O13" si="3">N12-N10</f>
        <v>179.81553532989861</v>
      </c>
      <c r="O13" s="14">
        <f t="shared" si="3"/>
        <v>214.16938537832118</v>
      </c>
      <c r="P13" s="14" t="e">
        <f>P12-P10</f>
        <v>#VALUE!</v>
      </c>
    </row>
    <row r="14" spans="1:16" ht="16.5" thickBot="1">
      <c r="A14" t="s">
        <v>67</v>
      </c>
      <c r="B14" s="76">
        <f>B13/B11</f>
        <v>2.4919762307085516</v>
      </c>
      <c r="C14" s="76">
        <f t="shared" ref="C14:G14" si="4">C13/C11</f>
        <v>2.4896740313710537</v>
      </c>
      <c r="D14" s="76">
        <f t="shared" si="4"/>
        <v>2.4889376345620313</v>
      </c>
      <c r="E14" s="76">
        <f t="shared" si="4"/>
        <v>2.4888760549001749</v>
      </c>
      <c r="F14" s="76">
        <f t="shared" si="4"/>
        <v>2.489983009028172</v>
      </c>
      <c r="G14" s="76" t="e">
        <f t="shared" si="4"/>
        <v>#VALUE!</v>
      </c>
      <c r="J14" s="1" t="s">
        <v>50</v>
      </c>
      <c r="K14" s="20">
        <f>IF('Finisher Model - ME Imperial'!$E$11=2,L14,IF('Finisher Model - ME Imperial'!$E$11=3,M14,IF('Finisher Model - ME Imperial'!$E$11=4,N14,IF('Finisher Model - ME Imperial'!$E$11=5,O14,IF('Finisher Model - ME Imperial'!$E$11=6,P14,"")))))</f>
        <v>200.94680972058504</v>
      </c>
      <c r="L14" s="16">
        <f>L12-L11</f>
        <v>105.509729014117</v>
      </c>
      <c r="M14" s="16">
        <f>M12-M11</f>
        <v>138.41598642215678</v>
      </c>
      <c r="N14" s="16">
        <f t="shared" ref="N14:O14" si="5">N12-N11</f>
        <v>169.66688977153424</v>
      </c>
      <c r="O14" s="16">
        <f t="shared" si="5"/>
        <v>200.94680972058504</v>
      </c>
      <c r="P14" s="16" t="e">
        <f>P12-P11</f>
        <v>#VALUE!</v>
      </c>
    </row>
    <row r="15" spans="1:16">
      <c r="A15" t="s">
        <v>88</v>
      </c>
      <c r="B15" s="44">
        <f>IF('Finisher Model - ME Imperial'!E11=2,SUMPRODUCT(B14:C14,B16:C16)/SUM(B16:C16),IF('Finisher Model - ME Imperial'!E11=3,SUMPRODUCT(B14:D14,B16:D16)/SUM(B16:D16),IF('Finisher Model - ME Imperial'!E11=4,SUMPRODUCT(B14:E14,B16:E16)/SUM(B16:E16),IF('Finisher Model - ME Imperial'!E11=5,SUMPRODUCT(B14:F14,B16:F16)/SUM(B16:F16),IF('Finisher Model - ME Imperial'!E11=6,SUMPRODUCT(B14:G14,B16:G16)/SUM(B16:G16),"")))))</f>
        <v>2.4898116538024295</v>
      </c>
      <c r="C15" s="76"/>
      <c r="D15" s="76"/>
      <c r="E15" s="76"/>
      <c r="F15" s="76"/>
      <c r="G15" s="76"/>
      <c r="J15" s="47" t="s">
        <v>89</v>
      </c>
      <c r="K15" s="76">
        <f>IF('Finisher Model - ME Imperial'!$E$11=2,L15,IF('Finisher Model - ME Imperial'!$E$11=3,M15,IF('Finisher Model - ME Imperial'!$E$11=4,N15,IF('Finisher Model - ME Imperial'!$E$11=5,O15,IF('Finisher Model - ME Imperial'!$E$11=6,P15,"")))))</f>
        <v>211.79102279269733</v>
      </c>
      <c r="L15" s="23">
        <f>C25</f>
        <v>211.79102279269733</v>
      </c>
      <c r="M15" s="23">
        <f>D25</f>
        <v>211.79102279269733</v>
      </c>
      <c r="N15" s="23">
        <f>E25</f>
        <v>211.79102279269733</v>
      </c>
      <c r="O15" s="23">
        <f>F25</f>
        <v>211.79102279269733</v>
      </c>
      <c r="P15" s="23">
        <f>G25</f>
        <v>211.79102279269733</v>
      </c>
    </row>
    <row r="16" spans="1:16">
      <c r="A16" t="s">
        <v>41</v>
      </c>
      <c r="B16" s="22">
        <f>'Current Performance - ME'!B16</f>
        <v>18.803678630140809</v>
      </c>
      <c r="C16" s="22">
        <f>'Current Performance - ME'!C16</f>
        <v>18.788092202497126</v>
      </c>
      <c r="D16" s="22">
        <f>'Current Performance - ME'!D16</f>
        <v>23.528851286493822</v>
      </c>
      <c r="E16" s="22">
        <f>'Current Performance - ME'!E16</f>
        <v>23.451424200571232</v>
      </c>
      <c r="F16" s="22">
        <f>'Current Performance - ME'!F16</f>
        <v>25.616084161431605</v>
      </c>
      <c r="G16" s="22" t="e">
        <f>'Current Performance - ME'!G16</f>
        <v>#VALUE!</v>
      </c>
      <c r="H16" s="11">
        <f>IF('Finisher Model - ME Imperial'!E11=2,SUM(B16:C16),IF('Finisher Model - ME Imperial'!E11=3,SUM(B16:D16),IF('Finisher Model - ME Imperial'!E11=4,SUM(B16:E16),IF('Finisher Model - ME Imperial'!E11=5,SUM(B16:F16),IF('Finisher Model - ME Imperial'!E11=6,SUM(B16:G16),"")))))</f>
        <v>110.18813048113459</v>
      </c>
      <c r="J16" t="s">
        <v>56</v>
      </c>
      <c r="K16" s="76">
        <f>IF('Finisher Model - ME Imperial'!$E$11=2,L16,IF('Finisher Model - ME Imperial'!$E$11=3,M16,IF('Finisher Model - ME Imperial'!$E$11=4,N16,IF('Finisher Model - ME Imperial'!$E$11=5,O16,IF('Finisher Model - ME Imperial'!$E$11=6,P16,"")))))</f>
        <v>165.19699777830394</v>
      </c>
      <c r="L16">
        <f>SUM(L15*'Finisher Model - ME Imperial'!$E$8)</f>
        <v>165.19699777830394</v>
      </c>
      <c r="M16">
        <f>SUM(M15*'Finisher Model - ME Imperial'!$E$8)</f>
        <v>165.19699777830394</v>
      </c>
      <c r="N16">
        <f>SUM(N15*'Finisher Model - ME Imperial'!$E$8)</f>
        <v>165.19699777830394</v>
      </c>
      <c r="O16">
        <f>SUM(O15*'Finisher Model - ME Imperial'!$E$8)</f>
        <v>165.19699777830394</v>
      </c>
      <c r="P16">
        <f>SUM(P15*'Finisher Model - ME Imperial'!$E$8)</f>
        <v>165.19699777830394</v>
      </c>
    </row>
    <row r="17" spans="1:16">
      <c r="A17" t="s">
        <v>68</v>
      </c>
      <c r="B17" s="25">
        <f>D43</f>
        <v>71.535929840500387</v>
      </c>
      <c r="C17" s="25">
        <f>D44</f>
        <v>82.916785614455165</v>
      </c>
      <c r="D17" s="25">
        <f>D45</f>
        <v>119.65031045019259</v>
      </c>
      <c r="E17" s="25">
        <f>D46</f>
        <v>137.43289759699712</v>
      </c>
      <c r="F17" s="25">
        <f>D47</f>
        <v>179.09512506524067</v>
      </c>
      <c r="G17" s="25" t="str">
        <f>D48</f>
        <v/>
      </c>
      <c r="H17" s="11"/>
      <c r="J17" t="s">
        <v>57</v>
      </c>
      <c r="K17" s="76">
        <f>IF('Finisher Model - ME Imperial'!$E$11=2,L17,IF('Finisher Model - ME Imperial'!$E$11=3,M17,IF('Finisher Model - ME Imperial'!$E$11=4,N17,IF('Finisher Model - ME Imperial'!$E$11=5,O17,IF('Finisher Model - ME Imperial'!$E$11=6,P17,"")))))</f>
        <v>92.147215327051839</v>
      </c>
      <c r="L17" s="11">
        <f>L16-L10</f>
        <v>144.28759615465455</v>
      </c>
      <c r="M17" s="11">
        <f>M16-M10</f>
        <v>129.36720244151553</v>
      </c>
      <c r="N17">
        <f>N16-N10</f>
        <v>112.95359148150618</v>
      </c>
      <c r="O17">
        <f>O16-O10</f>
        <v>92.147215327051839</v>
      </c>
      <c r="P17" s="11" t="e">
        <f>P16-P10</f>
        <v>#VALUE!</v>
      </c>
    </row>
    <row r="18" spans="1:16" ht="16.5" thickBot="1">
      <c r="A18" t="s">
        <v>34</v>
      </c>
      <c r="B18" s="6">
        <f>(B17*(B9/2000))</f>
        <v>10.005015147492385</v>
      </c>
      <c r="C18" s="6">
        <f t="shared" ref="C18:E18" si="6">(C17*(C9/2000))</f>
        <v>10.904386476156997</v>
      </c>
      <c r="D18" s="6">
        <f t="shared" si="6"/>
        <v>14.920393713139017</v>
      </c>
      <c r="E18" s="6">
        <f t="shared" si="6"/>
        <v>16.413610960009368</v>
      </c>
      <c r="F18" s="6">
        <f>(F17*(F9/2000))</f>
        <v>20.806376154454334</v>
      </c>
      <c r="G18" s="6" t="e">
        <f>(G17*(G9/2000))</f>
        <v>#VALUE!</v>
      </c>
      <c r="H18" s="11"/>
      <c r="J18" s="1" t="s">
        <v>59</v>
      </c>
      <c r="K18" s="20">
        <f>IF('Finisher Model - ME Imperial'!$E$11=2,L18,IF('Finisher Model - ME Imperial'!$E$11=3,M18,IF('Finisher Model - ME Imperial'!$E$11=4,N18,IF('Finisher Model - ME Imperial'!$E$11=5,O18,IF('Finisher Model - ME Imperial'!$E$11=6,P18,"")))))</f>
        <v>78.924639669315695</v>
      </c>
      <c r="L18" s="16">
        <f>L16-L11</f>
        <v>139.776583654738</v>
      </c>
      <c r="M18" s="16">
        <f>M16-M11</f>
        <v>122.03272778721973</v>
      </c>
      <c r="N18" s="1">
        <f>N16-N11</f>
        <v>102.80494592314182</v>
      </c>
      <c r="O18" s="1">
        <f>O16-O11</f>
        <v>78.924639669315695</v>
      </c>
      <c r="P18" s="16" t="e">
        <f>P16-P11</f>
        <v>#VALUE!</v>
      </c>
    </row>
    <row r="19" spans="1:16">
      <c r="A19" t="s">
        <v>35</v>
      </c>
      <c r="B19" s="6">
        <f>B11/1000*B16*2.2046</f>
        <v>40.472996506349141</v>
      </c>
      <c r="C19" s="6">
        <f t="shared" ref="C19:G19" si="7">C11/1000*C16*2.2046</f>
        <v>40.457146631333792</v>
      </c>
      <c r="D19" s="6">
        <f t="shared" si="7"/>
        <v>50.650113275558049</v>
      </c>
      <c r="E19" s="6">
        <f t="shared" si="7"/>
        <v>50.478685213455385</v>
      </c>
      <c r="F19" s="6">
        <f t="shared" si="7"/>
        <v>55.160226202876899</v>
      </c>
      <c r="G19" s="6" t="e">
        <f t="shared" si="7"/>
        <v>#VALUE!</v>
      </c>
      <c r="H19" s="11">
        <f>IF('Finisher Model - ME Imperial'!E11=2,SUM(B19:C19)+'Finisher Model - ME Imperial'!C15,IF('Finisher Model - ME Imperial'!E11=3,SUM(B19:D19)+'Finisher Model - ME Imperial'!C15,IF('Finisher Model - ME Imperial'!E11=4,SUM(B19:E19)+'Finisher Model - ME Imperial'!C15,IF('Finisher Model - ME Imperial'!E11=5,SUM(B19:F19)+'Finisher Model - ME Imperial'!C15,IF('Finisher Model - ME Imperial'!E11=6,SUM(B19:G19)+'Finisher Model - ME Imperial'!C15,"")))))</f>
        <v>287.21916782957328</v>
      </c>
      <c r="I19" s="6">
        <f>CONVERT(H19,"lbm","kg")</f>
        <v>130.28042304524391</v>
      </c>
    </row>
    <row r="20" spans="1:16">
      <c r="A20" t="s">
        <v>36</v>
      </c>
      <c r="B20" s="76">
        <f>B18/((B11*0.00220462)*B16)</f>
        <v>0.24719999127922945</v>
      </c>
      <c r="C20" s="76">
        <f t="shared" ref="C20:G20" si="8">C18/((C11*0.00220462)*C16)</f>
        <v>0.26952685646555091</v>
      </c>
      <c r="D20" s="76">
        <f t="shared" si="8"/>
        <v>0.29457502446777589</v>
      </c>
      <c r="E20" s="76">
        <f t="shared" si="8"/>
        <v>0.32515629098998944</v>
      </c>
      <c r="F20" s="76">
        <f t="shared" si="8"/>
        <v>0.37719546916715296</v>
      </c>
      <c r="G20" s="76" t="e">
        <f t="shared" si="8"/>
        <v>#VALUE!</v>
      </c>
    </row>
    <row r="21" spans="1:16">
      <c r="A21" t="s">
        <v>37</v>
      </c>
      <c r="B21" s="76">
        <f>B18+(B16*'Finisher Model - ME Imperial'!$E$10)</f>
        <v>12.261456583109283</v>
      </c>
      <c r="C21" s="76">
        <f>C18+(C16*'Finisher Model - ME Imperial'!$E$10)</f>
        <v>13.158957540456651</v>
      </c>
      <c r="D21" s="76">
        <f>D18+(D16*'Finisher Model - ME Imperial'!$E$10)</f>
        <v>17.743855867518274</v>
      </c>
      <c r="E21" s="76">
        <f>E18+(E16*'Finisher Model - ME Imperial'!$E$10)</f>
        <v>19.227781864077915</v>
      </c>
      <c r="F21" s="76">
        <f>F18+(F16*'Finisher Model - ME Imperial'!$E$10)</f>
        <v>23.880306253826127</v>
      </c>
      <c r="G21" s="76" t="e">
        <f>G18+(G16*'Finisher Model - ME Imperial'!$E$10)</f>
        <v>#VALUE!</v>
      </c>
      <c r="I21" s="29"/>
      <c r="K21" s="76"/>
      <c r="L21" s="76"/>
    </row>
    <row r="22" spans="1:16">
      <c r="A22" t="s">
        <v>38</v>
      </c>
      <c r="B22" s="76">
        <f>B19*'Finisher Model - ME Imperial'!$E$7</f>
        <v>40.472996506349141</v>
      </c>
      <c r="C22" s="76">
        <f>C19*'Finisher Model - ME Imperial'!$E$7</f>
        <v>40.457146631333792</v>
      </c>
      <c r="D22" s="76">
        <f>D19*'Finisher Model - ME Imperial'!$E$7</f>
        <v>50.650113275558049</v>
      </c>
      <c r="E22" s="76">
        <f>E19*'Finisher Model - ME Imperial'!$E$7</f>
        <v>50.478685213455385</v>
      </c>
      <c r="F22" s="76">
        <f>F19*'Finisher Model - ME Imperial'!$E$7</f>
        <v>55.160226202876899</v>
      </c>
      <c r="G22" s="76" t="e">
        <f>G19*'Finisher Model - ME Imperial'!$E$7</f>
        <v>#VALUE!</v>
      </c>
      <c r="K22" s="76"/>
      <c r="L22" s="76"/>
    </row>
    <row r="23" spans="1:16">
      <c r="A23" t="s">
        <v>39</v>
      </c>
      <c r="B23" s="76">
        <f>B22-B18</f>
        <v>30.467981358856754</v>
      </c>
      <c r="C23" s="76">
        <f t="shared" ref="C23:G23" si="9">C22-C18</f>
        <v>29.552760155176795</v>
      </c>
      <c r="D23" s="76">
        <f t="shared" si="9"/>
        <v>35.729719562419035</v>
      </c>
      <c r="E23" s="76">
        <f t="shared" si="9"/>
        <v>34.065074253446014</v>
      </c>
      <c r="F23" s="76">
        <f t="shared" si="9"/>
        <v>34.353850048422565</v>
      </c>
      <c r="G23" s="76" t="e">
        <f t="shared" si="9"/>
        <v>#VALUE!</v>
      </c>
    </row>
    <row r="24" spans="1:16">
      <c r="A24" t="s">
        <v>40</v>
      </c>
      <c r="B24" s="76">
        <f>B22-B21</f>
        <v>28.211539923239858</v>
      </c>
      <c r="C24" s="76">
        <f t="shared" ref="C24:G24" si="10">C22-C21</f>
        <v>27.298189090877141</v>
      </c>
      <c r="D24" s="76">
        <f t="shared" si="10"/>
        <v>32.906257408039778</v>
      </c>
      <c r="E24" s="76">
        <f t="shared" si="10"/>
        <v>31.25090334937747</v>
      </c>
      <c r="F24" s="76">
        <f t="shared" si="10"/>
        <v>31.279919949050772</v>
      </c>
      <c r="G24" s="76" t="e">
        <f t="shared" si="10"/>
        <v>#VALUE!</v>
      </c>
    </row>
    <row r="25" spans="1:16">
      <c r="A25" t="s">
        <v>177</v>
      </c>
      <c r="B25" s="6">
        <f>$H$19*IF('Finisher Model - ME Imperial'!$E$9&lt;76,'FT - Projected Performance - ME'!B33,'FT - Projected Performance - ME'!B34)/100</f>
        <v>211.79102279269733</v>
      </c>
      <c r="C25" s="6">
        <f>$H$19*IF('Finisher Model - ME Imperial'!$E$9&lt;76,'FT - Projected Performance - ME'!C33,'FT - Projected Performance - ME'!C34)/100</f>
        <v>211.79102279269733</v>
      </c>
      <c r="D25" s="6">
        <f>$H$19*IF('Finisher Model - ME Imperial'!$E$9&lt;76,'FT - Projected Performance - ME'!D33,'FT - Projected Performance - ME'!D34)/100</f>
        <v>211.79102279269733</v>
      </c>
      <c r="E25" s="6">
        <f>$H$19*IF('Finisher Model - ME Imperial'!$E$9&lt;76,'FT - Projected Performance - ME'!E33,'FT - Projected Performance - ME'!E34)/100</f>
        <v>211.79102279269733</v>
      </c>
      <c r="F25" s="6">
        <f>$H$19*IF('Finisher Model - ME Imperial'!$E$9&lt;76,'FT - Projected Performance - ME'!F33,'FT - Projected Performance - ME'!F34)/100</f>
        <v>211.79102279269733</v>
      </c>
      <c r="G25" s="6">
        <f>$H$19*IF('Finisher Model - ME Imperial'!$E$9&lt;76,'FT - Projected Performance - ME'!G33,'FT - Projected Performance - ME'!G34)/100</f>
        <v>211.79102279269733</v>
      </c>
    </row>
    <row r="26" spans="1:16">
      <c r="A26" t="s">
        <v>176</v>
      </c>
      <c r="B26" s="76">
        <f>(VLOOKUP($I$19,$C$55:$I$94,7,TRUE))*100</f>
        <v>74.922166093909382</v>
      </c>
      <c r="C26" s="76">
        <f t="shared" ref="C26:G26" si="11">(VLOOKUP($I$19,$C$55:$I$94,7,TRUE))*100</f>
        <v>74.922166093909382</v>
      </c>
      <c r="D26" s="76">
        <f t="shared" si="11"/>
        <v>74.922166093909382</v>
      </c>
      <c r="E26" s="76">
        <f t="shared" si="11"/>
        <v>74.922166093909382</v>
      </c>
      <c r="F26" s="76">
        <f t="shared" si="11"/>
        <v>74.922166093909382</v>
      </c>
      <c r="G26" s="76">
        <f t="shared" si="11"/>
        <v>74.922166093909382</v>
      </c>
    </row>
    <row r="27" spans="1:16">
      <c r="A27" t="s">
        <v>107</v>
      </c>
      <c r="B27" s="6">
        <f>'Finisher Model - ME Imperial'!E9</f>
        <v>74</v>
      </c>
      <c r="C27" s="6"/>
      <c r="D27" s="6"/>
      <c r="E27" s="6"/>
      <c r="F27" s="6"/>
      <c r="G27" s="6"/>
    </row>
    <row r="28" spans="1:16">
      <c r="A28" t="s">
        <v>108</v>
      </c>
      <c r="B28" s="54">
        <f>B27/B26</f>
        <v>0.98769167868486996</v>
      </c>
      <c r="C28" s="6"/>
      <c r="D28" s="6"/>
      <c r="E28" s="6"/>
      <c r="F28" s="6"/>
      <c r="G28" s="6"/>
      <c r="J28" t="s">
        <v>166</v>
      </c>
    </row>
    <row r="29" spans="1:16">
      <c r="A29" t="s">
        <v>181</v>
      </c>
      <c r="B29" s="95">
        <f>'Finisher Model - ME Imperial'!Q17</f>
        <v>1.2694791779362142</v>
      </c>
      <c r="C29" s="95">
        <f>'Finisher Model - ME Imperial'!Q18</f>
        <v>1.2199449245579297</v>
      </c>
      <c r="D29" s="95">
        <f>'Finisher Model - ME Imperial'!Q19</f>
        <v>1.1873922871163929</v>
      </c>
      <c r="E29" s="95">
        <f>'Finisher Model - ME Imperial'!Q20</f>
        <v>1.1821053923010845</v>
      </c>
      <c r="F29" s="95">
        <f>'Finisher Model - ME Imperial'!Q22</f>
        <v>1.2288598435245277</v>
      </c>
      <c r="G29" s="95" t="str">
        <f>'Finisher Model - ME Imperial'!Q42</f>
        <v/>
      </c>
      <c r="H29">
        <f>IF('Finisher Model - ME Imperial'!E11=2,SUMPRODUCT(B29:C29,B16:C16)/SUM(B16:C16),IF('Finisher Model - ME Imperial'!E11=3,SUMPRODUCT(B29:D29,B16:D16)/SUM(B16:D16),IF('Finisher Model - ME Imperial'!E11=4,SUMPRODUCT(B29:E29,B16:E16)/SUM(B16:E16),IF('Finisher Model - ME Imperial'!E11=5,SUMPRODUCT(B29:F29,B16:F16)/SUM(B16:F16),IF('Finisher Model - ME Imperial'!E11=6,SUMPRODUCT(B29:G29,B16:G16)/SUM(B16:G16),"")))))</f>
        <v>1.2154659884924328</v>
      </c>
    </row>
    <row r="30" spans="1:16">
      <c r="A30" t="s">
        <v>179</v>
      </c>
      <c r="B30" s="6">
        <f>73.859-1.19192*H29</f>
        <v>72.410261778996087</v>
      </c>
      <c r="C30" s="6"/>
      <c r="D30" s="6"/>
      <c r="E30" s="6"/>
      <c r="F30" s="6"/>
      <c r="G30" s="6"/>
      <c r="J30" t="s">
        <v>167</v>
      </c>
    </row>
    <row r="31" spans="1:16">
      <c r="A31" t="s">
        <v>171</v>
      </c>
      <c r="B31" s="6">
        <f>73.859-1.19192*1</f>
        <v>72.667079999999999</v>
      </c>
      <c r="C31" s="6"/>
      <c r="D31" s="6"/>
      <c r="E31" s="6"/>
      <c r="F31" s="6"/>
      <c r="G31" s="6"/>
    </row>
    <row r="32" spans="1:16">
      <c r="A32" t="s">
        <v>173</v>
      </c>
      <c r="B32" s="54">
        <f>B30/B31</f>
        <v>0.99646582440076148</v>
      </c>
      <c r="C32" s="3"/>
      <c r="D32" s="3"/>
      <c r="E32" s="3"/>
      <c r="F32" s="3"/>
      <c r="G32" s="3"/>
    </row>
    <row r="33" spans="1:7">
      <c r="A33" t="s">
        <v>174</v>
      </c>
      <c r="B33" s="76">
        <f>(VLOOKUP($I$19,$C$55:$K$94,9,TRUE))</f>
        <v>73.738471005656351</v>
      </c>
      <c r="C33" s="76">
        <f t="shared" ref="C33:G33" si="12">(VLOOKUP($I$19,$C$55:$K$94,9,TRUE))</f>
        <v>73.738471005656351</v>
      </c>
      <c r="D33" s="76">
        <f t="shared" si="12"/>
        <v>73.738471005656351</v>
      </c>
      <c r="E33" s="76">
        <f t="shared" si="12"/>
        <v>73.738471005656351</v>
      </c>
      <c r="F33" s="76">
        <f t="shared" si="12"/>
        <v>73.738471005656351</v>
      </c>
      <c r="G33" s="76">
        <f t="shared" si="12"/>
        <v>73.738471005656351</v>
      </c>
    </row>
    <row r="34" spans="1:7">
      <c r="A34" t="s">
        <v>243</v>
      </c>
      <c r="B34" s="259">
        <f>'Current Performance - ME'!$B$36</f>
        <v>73.972202930178625</v>
      </c>
      <c r="C34" s="259">
        <f>'Current Performance - ME'!$B$36</f>
        <v>73.972202930178625</v>
      </c>
      <c r="D34" s="259">
        <f>'Current Performance - ME'!$B$36</f>
        <v>73.972202930178625</v>
      </c>
      <c r="E34" s="259">
        <f>'Current Performance - ME'!$B$36</f>
        <v>73.972202930178625</v>
      </c>
      <c r="F34" s="259">
        <f>'Current Performance - ME'!$B$36</f>
        <v>73.972202930178625</v>
      </c>
      <c r="G34" s="259">
        <f>'Current Performance - ME'!$B$36</f>
        <v>73.972202930178625</v>
      </c>
    </row>
    <row r="35" spans="1:7">
      <c r="B35" s="76"/>
      <c r="C35" s="76"/>
      <c r="D35" s="76"/>
      <c r="E35" s="76"/>
      <c r="F35" s="76"/>
      <c r="G35" s="76"/>
    </row>
    <row r="36" spans="1:7" ht="16.5" thickBot="1"/>
    <row r="37" spans="1:7" ht="16.5" thickBot="1">
      <c r="B37" s="319" t="s">
        <v>69</v>
      </c>
      <c r="C37" s="320"/>
      <c r="D37" s="320"/>
      <c r="E37" s="321"/>
    </row>
    <row r="38" spans="1:7" ht="16.5" thickBot="1">
      <c r="B38" s="309" t="s">
        <v>70</v>
      </c>
      <c r="C38" s="310"/>
      <c r="D38" s="310"/>
      <c r="E38" s="311"/>
    </row>
    <row r="39" spans="1:7" ht="16.5" thickBot="1">
      <c r="B39" s="35" t="s">
        <v>71</v>
      </c>
      <c r="C39" s="39" t="s">
        <v>72</v>
      </c>
      <c r="D39" s="39" t="s">
        <v>73</v>
      </c>
      <c r="E39" s="33"/>
    </row>
    <row r="40" spans="1:7" ht="16.5" thickBot="1">
      <c r="B40" s="40">
        <f>'Finisher Model - ME Imperial'!C15</f>
        <v>50</v>
      </c>
      <c r="C40" s="97">
        <f>H19</f>
        <v>287.21916782957328</v>
      </c>
      <c r="D40" s="39">
        <f>B15</f>
        <v>2.4898116538024295</v>
      </c>
      <c r="E40" s="33"/>
    </row>
    <row r="41" spans="1:7">
      <c r="B41" s="35"/>
      <c r="C41" s="32"/>
      <c r="D41" s="32"/>
      <c r="E41" s="41"/>
    </row>
    <row r="42" spans="1:7">
      <c r="B42" s="35" t="s">
        <v>71</v>
      </c>
      <c r="C42" s="32" t="s">
        <v>72</v>
      </c>
      <c r="D42" s="42" t="s">
        <v>74</v>
      </c>
      <c r="E42" s="36">
        <f>IF(B43=0,F42,((0.00463*B43^2 + 1.68*B43 - 22.05)/(((0.00463*C40^2 + 1.68*C40 - 22.05)-(0.00463*B40^2 + 1.68*B40 - 22.05))/(C40-B40))*D40))</f>
        <v>56.477957666038073</v>
      </c>
    </row>
    <row r="43" spans="1:7">
      <c r="A43">
        <v>1</v>
      </c>
      <c r="B43" s="31">
        <f>'Finisher Model - ME Imperial'!C15</f>
        <v>50</v>
      </c>
      <c r="C43" s="37">
        <f>'Finisher Model - ME Imperial'!D15</f>
        <v>90</v>
      </c>
      <c r="D43" s="43">
        <f>IF(C43="","",(E43-E42))</f>
        <v>71.535929840500387</v>
      </c>
      <c r="E43" s="36">
        <f t="shared" ref="E43:E48" si="13">IF(B44="","",((0.00463*B44^2 + 1.68*B44 - 22.05)/(((0.00463*$C$40^2 + 1.68*$C$40 - 22.05)-(0.00463*$B$40^2 + 1.68*$B$40 - 22.05))/($C$40-$B$40))*$D$40))</f>
        <v>128.01388750653845</v>
      </c>
    </row>
    <row r="44" spans="1:7">
      <c r="A44">
        <v>2</v>
      </c>
      <c r="B44" s="31">
        <f t="shared" ref="B44:B46" si="14">C43</f>
        <v>90</v>
      </c>
      <c r="C44" s="37">
        <f>IF('Finisher Model - ME Imperial'!E11=2,H19,'Finisher Model - ME Imperial'!D16)</f>
        <v>130</v>
      </c>
      <c r="D44" s="43">
        <f t="shared" ref="D44:D47" si="15">IF(C44="","",(E44-E43))</f>
        <v>82.916785614455165</v>
      </c>
      <c r="E44" s="36">
        <f t="shared" si="13"/>
        <v>210.93067312099362</v>
      </c>
    </row>
    <row r="45" spans="1:7">
      <c r="A45">
        <v>3</v>
      </c>
      <c r="B45" s="31">
        <f t="shared" si="14"/>
        <v>130</v>
      </c>
      <c r="C45" s="37">
        <f>IF('Finisher Model - ME Imperial'!E11=3,H19,'Finisher Model - ME Imperial'!D17)</f>
        <v>180</v>
      </c>
      <c r="D45" s="43">
        <f t="shared" si="15"/>
        <v>119.65031045019259</v>
      </c>
      <c r="E45" s="36">
        <f t="shared" si="13"/>
        <v>330.58098357118621</v>
      </c>
    </row>
    <row r="46" spans="1:7">
      <c r="A46">
        <v>4</v>
      </c>
      <c r="B46" s="35">
        <f t="shared" si="14"/>
        <v>180</v>
      </c>
      <c r="C46" s="37">
        <f>IF('Finisher Model - ME Imperial'!E11=4,H19,'Finisher Model - ME Imperial'!D18)</f>
        <v>230</v>
      </c>
      <c r="D46" s="43">
        <f>IF(C46="","",(E46-E45))</f>
        <v>137.43289759699712</v>
      </c>
      <c r="E46" s="36">
        <f t="shared" si="13"/>
        <v>468.01388116818333</v>
      </c>
    </row>
    <row r="47" spans="1:7">
      <c r="A47">
        <v>5</v>
      </c>
      <c r="B47" s="31">
        <f>C46</f>
        <v>230</v>
      </c>
      <c r="C47" s="37">
        <f>IF('Finisher Model - ME Imperial'!E11=5,H19,'Finisher Model - ME Imperial'!D19)</f>
        <v>287.21916782957328</v>
      </c>
      <c r="D47" s="43">
        <f t="shared" si="15"/>
        <v>179.09512506524067</v>
      </c>
      <c r="E47" s="36">
        <f t="shared" si="13"/>
        <v>647.109006233424</v>
      </c>
    </row>
    <row r="48" spans="1:7" ht="16.5" thickBot="1">
      <c r="A48">
        <v>6</v>
      </c>
      <c r="B48" s="38">
        <f>C47</f>
        <v>287.21916782957328</v>
      </c>
      <c r="C48" s="62" t="str">
        <f>IF('Finisher Model - ME Imperial'!E11=6,H19,"")</f>
        <v/>
      </c>
      <c r="D48" s="65" t="str">
        <f>IF(C48="","",(E48-E47))</f>
        <v/>
      </c>
      <c r="E48" s="66" t="str">
        <f t="shared" si="13"/>
        <v/>
      </c>
    </row>
    <row r="49" spans="2:11">
      <c r="B49" s="23" t="str">
        <f>C48</f>
        <v/>
      </c>
    </row>
    <row r="53" spans="2:11" ht="57.75">
      <c r="B53" s="48" t="s">
        <v>92</v>
      </c>
      <c r="C53" s="48" t="s">
        <v>93</v>
      </c>
      <c r="D53" s="316" t="s">
        <v>94</v>
      </c>
      <c r="E53" s="316"/>
      <c r="F53" s="316"/>
      <c r="G53" s="78"/>
      <c r="H53" s="5"/>
      <c r="I53" s="317" t="s">
        <v>95</v>
      </c>
    </row>
    <row r="54" spans="2:11">
      <c r="B54" s="49" t="s">
        <v>96</v>
      </c>
      <c r="C54" s="49" t="s">
        <v>96</v>
      </c>
      <c r="D54" s="49" t="s">
        <v>97</v>
      </c>
      <c r="E54" s="49" t="s">
        <v>98</v>
      </c>
      <c r="F54" s="49" t="s">
        <v>99</v>
      </c>
      <c r="G54" s="49"/>
      <c r="H54" s="49"/>
      <c r="I54" s="318"/>
      <c r="J54" s="49" t="s">
        <v>109</v>
      </c>
      <c r="K54" t="s">
        <v>170</v>
      </c>
    </row>
    <row r="55" spans="2:11">
      <c r="B55" s="48">
        <v>81</v>
      </c>
      <c r="C55" s="50">
        <v>110.17670623134534</v>
      </c>
      <c r="D55" s="6">
        <v>16.864782047899471</v>
      </c>
      <c r="E55" s="6">
        <v>14.510728742835685</v>
      </c>
      <c r="F55" s="50">
        <v>15.687755395367578</v>
      </c>
      <c r="G55" s="50"/>
      <c r="H55" s="51"/>
      <c r="I55" s="52">
        <v>0.73518262408316082</v>
      </c>
      <c r="J55" s="76">
        <f>(I55*$B$28)*100</f>
        <v>72.613376012064478</v>
      </c>
      <c r="K55" s="94">
        <f>J55*$B$32</f>
        <v>72.356747590384302</v>
      </c>
    </row>
    <row r="56" spans="2:11">
      <c r="B56" s="48">
        <v>82</v>
      </c>
      <c r="C56" s="50">
        <v>111.4039519642067</v>
      </c>
      <c r="D56" s="6">
        <v>17.074455706764272</v>
      </c>
      <c r="E56" s="6">
        <v>14.613701440729169</v>
      </c>
      <c r="F56" s="50">
        <v>15.844078573746721</v>
      </c>
      <c r="G56" s="50"/>
      <c r="H56" s="51"/>
      <c r="I56" s="52">
        <v>0.73606006388665657</v>
      </c>
      <c r="J56" s="76">
        <f t="shared" ref="J56:J94" si="16">(I56*$B$28)*100</f>
        <v>72.700040011310435</v>
      </c>
      <c r="K56" s="94">
        <f t="shared" ref="K56:K94" si="17">J56*$B$32</f>
        <v>72.443105303838792</v>
      </c>
    </row>
    <row r="57" spans="2:11">
      <c r="B57" s="48">
        <v>83</v>
      </c>
      <c r="C57" s="50">
        <v>112.6282752396024</v>
      </c>
      <c r="D57" s="6">
        <v>17.284147265806148</v>
      </c>
      <c r="E57" s="6">
        <v>14.71614342750836</v>
      </c>
      <c r="F57" s="50">
        <v>16.000145346657256</v>
      </c>
      <c r="G57" s="50"/>
      <c r="H57" s="51"/>
      <c r="I57" s="52">
        <v>0.73693750369015243</v>
      </c>
      <c r="J57" s="76">
        <f t="shared" si="16"/>
        <v>72.78670401055642</v>
      </c>
      <c r="K57" s="94">
        <f t="shared" si="17"/>
        <v>72.52946301729331</v>
      </c>
    </row>
    <row r="58" spans="2:11">
      <c r="B58" s="48">
        <v>84</v>
      </c>
      <c r="C58" s="50">
        <v>113.84968648405146</v>
      </c>
      <c r="D58" s="6">
        <v>17.493856510850449</v>
      </c>
      <c r="E58" s="6">
        <v>14.81806378371237</v>
      </c>
      <c r="F58" s="50">
        <v>16.155960147281409</v>
      </c>
      <c r="G58" s="50"/>
      <c r="H58" s="51"/>
      <c r="I58" s="52">
        <v>0.73781494349364829</v>
      </c>
      <c r="J58" s="76">
        <f t="shared" si="16"/>
        <v>72.873368009802391</v>
      </c>
      <c r="K58" s="94">
        <f t="shared" si="17"/>
        <v>72.615820730747814</v>
      </c>
    </row>
    <row r="59" spans="2:11">
      <c r="B59" s="48">
        <v>85</v>
      </c>
      <c r="C59" s="50">
        <v>115.06819607453319</v>
      </c>
      <c r="D59" s="6">
        <v>17.703583232804778</v>
      </c>
      <c r="E59" s="6">
        <v>14.919471328516645</v>
      </c>
      <c r="F59" s="50">
        <v>16.311527280660712</v>
      </c>
      <c r="G59" s="50"/>
      <c r="H59" s="51"/>
      <c r="I59" s="52">
        <v>0.73869238329714404</v>
      </c>
      <c r="J59" s="76">
        <f t="shared" si="16"/>
        <v>72.960032009048362</v>
      </c>
      <c r="K59" s="94">
        <f t="shared" si="17"/>
        <v>72.702178444202318</v>
      </c>
    </row>
    <row r="60" spans="2:11">
      <c r="B60" s="48">
        <v>86</v>
      </c>
      <c r="C60" s="50">
        <v>116.28381433878111</v>
      </c>
      <c r="D60" s="6">
        <v>17.913327227479776</v>
      </c>
      <c r="E60" s="6">
        <v>15.020374630235036</v>
      </c>
      <c r="F60" s="50">
        <v>16.466850928857404</v>
      </c>
      <c r="G60" s="50"/>
      <c r="H60" s="50"/>
      <c r="I60" s="52">
        <v>0.7395698231006399</v>
      </c>
      <c r="J60" s="76">
        <f t="shared" si="16"/>
        <v>73.046696008294333</v>
      </c>
      <c r="K60" s="94">
        <f t="shared" si="17"/>
        <v>72.788536157656822</v>
      </c>
    </row>
    <row r="61" spans="2:11">
      <c r="B61" s="48">
        <v>87</v>
      </c>
      <c r="C61" s="50">
        <v>117.49655155557477</v>
      </c>
      <c r="D61" s="6">
        <v>18.123088295418643</v>
      </c>
      <c r="E61" s="6">
        <v>15.120782016283018</v>
      </c>
      <c r="F61" s="50">
        <v>16.621935155850831</v>
      </c>
      <c r="G61" s="50"/>
      <c r="H61" s="50"/>
      <c r="I61" s="52">
        <v>0.74044726290413565</v>
      </c>
      <c r="J61" s="76">
        <f t="shared" si="16"/>
        <v>73.13336000754029</v>
      </c>
      <c r="K61" s="94">
        <f t="shared" si="17"/>
        <v>72.874893871111311</v>
      </c>
    </row>
    <row r="62" spans="2:11">
      <c r="B62" s="48">
        <v>88</v>
      </c>
      <c r="C62" s="50">
        <v>118.70641795502937</v>
      </c>
      <c r="D62" s="6">
        <v>18.332866241734184</v>
      </c>
      <c r="E62" s="6">
        <v>15.220701582635391</v>
      </c>
      <c r="F62" s="50">
        <v>16.776783912184786</v>
      </c>
      <c r="G62" s="50"/>
      <c r="H62" s="50"/>
      <c r="I62" s="52">
        <v>0.74132470270763151</v>
      </c>
      <c r="J62" s="76">
        <f t="shared" si="16"/>
        <v>73.220024006786275</v>
      </c>
      <c r="K62" s="94">
        <f t="shared" si="17"/>
        <v>72.961251584565829</v>
      </c>
    </row>
    <row r="63" spans="2:11">
      <c r="B63" s="48">
        <v>89</v>
      </c>
      <c r="C63" s="50">
        <v>119.91342371888354</v>
      </c>
      <c r="D63" s="6">
        <v>18.542660875953423</v>
      </c>
      <c r="E63" s="6">
        <v>15.320141202809715</v>
      </c>
      <c r="F63" s="50">
        <v>16.931401039381569</v>
      </c>
      <c r="G63" s="50"/>
      <c r="H63" s="50"/>
      <c r="I63" s="52">
        <v>0.74220214251112737</v>
      </c>
      <c r="J63" s="76">
        <f t="shared" si="16"/>
        <v>73.306688006032246</v>
      </c>
      <c r="K63" s="94">
        <f t="shared" si="17"/>
        <v>73.047609298020333</v>
      </c>
    </row>
    <row r="64" spans="2:11">
      <c r="B64" s="5">
        <v>90</v>
      </c>
      <c r="C64" s="50">
        <v>121.11757898078487</v>
      </c>
      <c r="D64" s="6">
        <v>18.752472011869195</v>
      </c>
      <c r="E64" s="6">
        <v>15.419108536404257</v>
      </c>
      <c r="F64" s="50">
        <v>17.085790274136727</v>
      </c>
      <c r="G64" s="50"/>
      <c r="H64" s="6"/>
      <c r="I64" s="52">
        <v>0.74307958231462312</v>
      </c>
      <c r="J64" s="76">
        <f t="shared" si="16"/>
        <v>73.393352005278217</v>
      </c>
      <c r="K64" s="94">
        <f t="shared" si="17"/>
        <v>73.133967011474837</v>
      </c>
    </row>
    <row r="65" spans="2:11">
      <c r="B65" s="5">
        <v>91</v>
      </c>
      <c r="C65" s="50">
        <v>122.31889382657351</v>
      </c>
      <c r="D65" s="6">
        <v>18.962299467398132</v>
      </c>
      <c r="E65" s="6">
        <v>15.517611037217174</v>
      </c>
      <c r="F65" s="50">
        <v>17.239955252307652</v>
      </c>
      <c r="G65" s="50"/>
      <c r="H65" s="6"/>
      <c r="I65" s="52">
        <v>0.74395702211811898</v>
      </c>
      <c r="J65" s="76">
        <f t="shared" si="16"/>
        <v>73.480016004524188</v>
      </c>
      <c r="K65" s="94">
        <f t="shared" si="17"/>
        <v>73.220324724929341</v>
      </c>
    </row>
    <row r="66" spans="2:11">
      <c r="B66" s="5">
        <v>92</v>
      </c>
      <c r="C66" s="50">
        <v>123.51737829456385</v>
      </c>
      <c r="D66" s="6">
        <v>19.172143064445141</v>
      </c>
      <c r="E66" s="6">
        <v>15.615655960971905</v>
      </c>
      <c r="F66" s="50">
        <v>17.393899512708522</v>
      </c>
      <c r="G66" s="50"/>
      <c r="H66" s="6"/>
      <c r="I66" s="52">
        <v>0.74483446192161473</v>
      </c>
      <c r="J66" s="76">
        <f t="shared" si="16"/>
        <v>73.566680003770145</v>
      </c>
      <c r="K66" s="94">
        <f t="shared" si="17"/>
        <v>73.306682438383831</v>
      </c>
    </row>
    <row r="67" spans="2:11">
      <c r="B67" s="5">
        <v>93</v>
      </c>
      <c r="C67" s="50">
        <v>124.71304237582397</v>
      </c>
      <c r="D67" s="6">
        <v>19.382002628773577</v>
      </c>
      <c r="E67" s="6">
        <v>15.713250372671933</v>
      </c>
      <c r="F67" s="50">
        <v>17.547626500722757</v>
      </c>
      <c r="G67" s="50"/>
      <c r="H67" s="6"/>
      <c r="I67" s="52">
        <v>0.74571190172511059</v>
      </c>
      <c r="J67" s="76">
        <f t="shared" si="16"/>
        <v>73.65334400301613</v>
      </c>
      <c r="K67" s="94">
        <f t="shared" si="17"/>
        <v>73.393040151838349</v>
      </c>
    </row>
    <row r="68" spans="2:11">
      <c r="B68" s="5">
        <v>94</v>
      </c>
      <c r="C68" s="50">
        <v>125.90589601445348</v>
      </c>
      <c r="D68" s="6">
        <v>19.591877989881006</v>
      </c>
      <c r="E68" s="6">
        <v>15.81040115360647</v>
      </c>
      <c r="F68" s="50">
        <v>17.701139571743738</v>
      </c>
      <c r="G68" s="50"/>
      <c r="H68" s="6"/>
      <c r="I68" s="52">
        <v>0.74658934152860634</v>
      </c>
      <c r="J68" s="76">
        <f t="shared" si="16"/>
        <v>73.740008002262087</v>
      </c>
      <c r="K68" s="94">
        <f t="shared" si="17"/>
        <v>73.479397865292839</v>
      </c>
    </row>
    <row r="69" spans="2:11">
      <c r="B69" s="5">
        <v>95</v>
      </c>
      <c r="C69" s="50">
        <v>127.09594910785896</v>
      </c>
      <c r="D69" s="6">
        <v>19.80176898088045</v>
      </c>
      <c r="E69" s="6">
        <v>15.907115008027194</v>
      </c>
      <c r="F69" s="50">
        <v>17.854441994453822</v>
      </c>
      <c r="G69" s="50"/>
      <c r="H69" s="6"/>
      <c r="I69" s="52">
        <v>0.7474667813321022</v>
      </c>
      <c r="J69" s="76">
        <f t="shared" si="16"/>
        <v>73.826672001508058</v>
      </c>
      <c r="K69" s="94">
        <f t="shared" si="17"/>
        <v>73.565755578747343</v>
      </c>
    </row>
    <row r="70" spans="2:11">
      <c r="B70" s="5">
        <v>96</v>
      </c>
      <c r="C70" s="50">
        <v>128.28321150702794</v>
      </c>
      <c r="D70" s="6">
        <v>20.011675438386312</v>
      </c>
      <c r="E70" s="6">
        <v>16.003398469514622</v>
      </c>
      <c r="F70" s="50">
        <v>18.007536953950467</v>
      </c>
      <c r="G70" s="50"/>
      <c r="H70" s="6"/>
      <c r="I70" s="52">
        <v>0.74834422113559795</v>
      </c>
      <c r="J70" s="76">
        <f t="shared" si="16"/>
        <v>73.913336000754029</v>
      </c>
      <c r="K70" s="94">
        <f t="shared" si="17"/>
        <v>73.652113292201847</v>
      </c>
    </row>
    <row r="71" spans="2:11">
      <c r="B71" s="5">
        <v>97</v>
      </c>
      <c r="C71" s="50">
        <v>129.46769301680052</v>
      </c>
      <c r="D71" s="6">
        <v>20.221597202405267</v>
      </c>
      <c r="E71" s="6">
        <v>16.099257907051943</v>
      </c>
      <c r="F71" s="50">
        <v>18.160427554728606</v>
      </c>
      <c r="G71" s="50"/>
      <c r="H71" s="6"/>
      <c r="I71" s="52">
        <v>0.74922166093909381</v>
      </c>
      <c r="J71" s="76">
        <f t="shared" si="16"/>
        <v>74</v>
      </c>
      <c r="K71" s="94">
        <f t="shared" si="17"/>
        <v>73.738471005656351</v>
      </c>
    </row>
    <row r="72" spans="2:11">
      <c r="B72" s="5">
        <v>98</v>
      </c>
      <c r="C72" s="50">
        <v>130.64940339613941</v>
      </c>
      <c r="D72" s="6">
        <v>20.43153411623155</v>
      </c>
      <c r="E72" s="6">
        <v>16.194699530822238</v>
      </c>
      <c r="F72" s="50">
        <v>18.313116823526894</v>
      </c>
      <c r="G72" s="50"/>
      <c r="H72" s="6"/>
      <c r="I72" s="52">
        <v>0.75009910074258968</v>
      </c>
      <c r="J72" s="76">
        <f t="shared" si="16"/>
        <v>74.086663999245985</v>
      </c>
      <c r="K72" s="94">
        <f t="shared" si="17"/>
        <v>73.824828719110869</v>
      </c>
    </row>
    <row r="73" spans="2:11">
      <c r="B73" s="5">
        <v>99</v>
      </c>
      <c r="C73" s="50">
        <v>131.82835235839786</v>
      </c>
      <c r="D73" s="6">
        <v>20.641486026346577</v>
      </c>
      <c r="E73" s="6">
        <v>16.289729397744711</v>
      </c>
      <c r="F73" s="50">
        <v>18.465607712045646</v>
      </c>
      <c r="G73" s="50"/>
      <c r="H73" s="6"/>
      <c r="I73" s="52">
        <v>0.75097654054608542</v>
      </c>
      <c r="J73" s="76">
        <f t="shared" si="16"/>
        <v>74.173327998491942</v>
      </c>
      <c r="K73" s="94">
        <f t="shared" si="17"/>
        <v>73.911186432565358</v>
      </c>
    </row>
    <row r="74" spans="2:11">
      <c r="B74" s="5">
        <v>100</v>
      </c>
      <c r="C74" s="50">
        <v>133.00454957158581</v>
      </c>
      <c r="D74" s="6">
        <v>20.851452782322603</v>
      </c>
      <c r="E74" s="6">
        <v>16.384353416763961</v>
      </c>
      <c r="F74" s="50">
        <v>18.617903099543284</v>
      </c>
      <c r="G74" s="50"/>
      <c r="H74" s="6"/>
      <c r="I74" s="52">
        <v>0.75185398034958129</v>
      </c>
      <c r="J74" s="76">
        <f t="shared" si="16"/>
        <v>74.259991997737913</v>
      </c>
      <c r="K74" s="94">
        <f t="shared" si="17"/>
        <v>73.997544146019862</v>
      </c>
    </row>
    <row r="75" spans="2:11">
      <c r="B75" s="5">
        <v>101</v>
      </c>
      <c r="C75" s="50">
        <v>134.17800465863434</v>
      </c>
      <c r="D75" s="6">
        <v>21.061434236730111</v>
      </c>
      <c r="E75" s="6">
        <v>16.478577353905742</v>
      </c>
      <c r="F75" s="50">
        <v>18.770005795317928</v>
      </c>
      <c r="G75" s="50"/>
      <c r="H75" s="6"/>
      <c r="I75" s="52">
        <v>0.75273142015307704</v>
      </c>
      <c r="J75" s="76">
        <f t="shared" si="16"/>
        <v>74.346655996983884</v>
      </c>
      <c r="K75" s="94">
        <f t="shared" si="17"/>
        <v>74.083901859474366</v>
      </c>
    </row>
    <row r="76" spans="2:11">
      <c r="B76" s="5">
        <v>102</v>
      </c>
      <c r="C76" s="50">
        <v>135.34872719765769</v>
      </c>
      <c r="D76" s="6">
        <v>21.27143024504899</v>
      </c>
      <c r="E76" s="6">
        <v>16.572406837111849</v>
      </c>
      <c r="F76" s="50">
        <v>18.921918541080419</v>
      </c>
      <c r="G76" s="50"/>
      <c r="H76" s="6"/>
      <c r="I76" s="52">
        <v>0.7536088599565729</v>
      </c>
      <c r="J76" s="76">
        <f t="shared" si="16"/>
        <v>74.433319996229855</v>
      </c>
      <c r="K76" s="94">
        <f t="shared" si="17"/>
        <v>74.17025957292887</v>
      </c>
    </row>
    <row r="77" spans="2:11">
      <c r="B77" s="5">
        <v>103</v>
      </c>
      <c r="C77" s="50">
        <v>136.51672672221434</v>
      </c>
      <c r="D77" s="6">
        <v>21.481440665583278</v>
      </c>
      <c r="E77" s="6">
        <v>16.665847360865602</v>
      </c>
      <c r="F77" s="50">
        <v>19.073644013224438</v>
      </c>
      <c r="G77" s="50"/>
      <c r="H77" s="6"/>
      <c r="I77" s="52">
        <v>0.75448629976006876</v>
      </c>
      <c r="J77" s="76">
        <f t="shared" si="16"/>
        <v>74.51998399547584</v>
      </c>
      <c r="K77" s="94">
        <f t="shared" si="17"/>
        <v>74.256617286383388</v>
      </c>
    </row>
    <row r="78" spans="2:11">
      <c r="B78" s="5">
        <v>104</v>
      </c>
      <c r="C78" s="50">
        <v>137.68201272156554</v>
      </c>
      <c r="D78" s="6">
        <v>21.69146535937886</v>
      </c>
      <c r="E78" s="6">
        <v>16.758904290619089</v>
      </c>
      <c r="F78" s="50">
        <v>19.225184824998976</v>
      </c>
      <c r="G78" s="50"/>
      <c r="H78" s="6"/>
      <c r="I78" s="52">
        <v>0.75536373956356451</v>
      </c>
      <c r="J78" s="76">
        <f t="shared" si="16"/>
        <v>74.606647994721797</v>
      </c>
      <c r="K78" s="94">
        <f t="shared" si="17"/>
        <v>74.342974999837878</v>
      </c>
    </row>
    <row r="79" spans="2:11">
      <c r="B79" s="5">
        <v>105</v>
      </c>
      <c r="C79" s="50">
        <v>138.84459464093223</v>
      </c>
      <c r="D79" s="6">
        <v>21.901504190144763</v>
      </c>
      <c r="E79" s="6">
        <v>16.851582867032572</v>
      </c>
      <c r="F79" s="50">
        <v>19.37654352858867</v>
      </c>
      <c r="G79" s="50"/>
      <c r="H79" s="6"/>
      <c r="I79" s="52">
        <v>0.75624117936706026</v>
      </c>
      <c r="J79" s="76">
        <f t="shared" si="16"/>
        <v>74.693311993967754</v>
      </c>
      <c r="K79" s="94">
        <f t="shared" si="17"/>
        <v>74.429332713292368</v>
      </c>
    </row>
    <row r="80" spans="2:11">
      <c r="B80" s="5">
        <v>106</v>
      </c>
      <c r="C80" s="50">
        <v>140.00448188175039</v>
      </c>
      <c r="D80" s="6">
        <v>22.111557024177106</v>
      </c>
      <c r="E80" s="6">
        <v>16.943888210035503</v>
      </c>
      <c r="F80" s="50">
        <v>19.527722617106306</v>
      </c>
      <c r="G80" s="50"/>
      <c r="H80" s="6"/>
      <c r="I80" s="52">
        <v>0.75711861917055612</v>
      </c>
      <c r="J80" s="76">
        <f t="shared" si="16"/>
        <v>74.779975993213725</v>
      </c>
      <c r="K80" s="94">
        <f t="shared" si="17"/>
        <v>74.515690426746872</v>
      </c>
    </row>
    <row r="81" spans="2:11">
      <c r="B81" s="5">
        <v>107</v>
      </c>
      <c r="C81" s="50">
        <v>141.16168380192445</v>
      </c>
      <c r="D81" s="6">
        <v>22.321623730286092</v>
      </c>
      <c r="E81" s="6">
        <v>17.035825322718448</v>
      </c>
      <c r="F81" s="50">
        <v>19.678724526502272</v>
      </c>
      <c r="G81" s="50"/>
      <c r="H81" s="6"/>
      <c r="I81" s="52">
        <v>0.75799605897405198</v>
      </c>
      <c r="J81" s="76">
        <f t="shared" si="16"/>
        <v>74.86663999245971</v>
      </c>
      <c r="K81" s="94">
        <f t="shared" si="17"/>
        <v>74.60204814020139</v>
      </c>
    </row>
    <row r="82" spans="2:11">
      <c r="B82" s="5">
        <v>108</v>
      </c>
      <c r="C82" s="50">
        <v>142.31620971607887</v>
      </c>
      <c r="D82" s="6">
        <v>22.531704179725708</v>
      </c>
      <c r="E82" s="6">
        <v>17.127399095064437</v>
      </c>
      <c r="F82" s="50">
        <v>19.82955163739507</v>
      </c>
      <c r="G82" s="50"/>
      <c r="H82" s="6"/>
      <c r="I82" s="52">
        <v>0.75887349877754773</v>
      </c>
      <c r="J82" s="76">
        <f t="shared" si="16"/>
        <v>74.953303991705681</v>
      </c>
      <c r="K82" s="94">
        <f t="shared" si="17"/>
        <v>74.688405853655894</v>
      </c>
    </row>
    <row r="83" spans="2:11">
      <c r="B83" s="5">
        <v>109</v>
      </c>
      <c r="C83" s="50">
        <v>143.46806889580807</v>
      </c>
      <c r="D83" s="6">
        <v>22.741798246125917</v>
      </c>
      <c r="E83" s="6">
        <v>17.218614307527691</v>
      </c>
      <c r="F83" s="50">
        <v>19.980206276826806</v>
      </c>
      <c r="G83" s="50"/>
      <c r="H83" s="6"/>
      <c r="I83" s="52">
        <v>0.75975093858104359</v>
      </c>
      <c r="J83" s="76">
        <f t="shared" si="16"/>
        <v>75.039967990951652</v>
      </c>
      <c r="K83" s="94">
        <f t="shared" si="17"/>
        <v>74.774763567110398</v>
      </c>
    </row>
    <row r="84" spans="2:11">
      <c r="B84" s="5">
        <v>110</v>
      </c>
      <c r="C84" s="50">
        <v>144.61727056992473</v>
      </c>
      <c r="D84" s="6">
        <v>22.951905805427518</v>
      </c>
      <c r="E84" s="6">
        <v>17.309475634467464</v>
      </c>
      <c r="F84" s="50">
        <v>20.130690719947491</v>
      </c>
      <c r="G84" s="50"/>
      <c r="H84" s="6"/>
      <c r="I84" s="52">
        <v>0.76062837838453934</v>
      </c>
      <c r="J84" s="76">
        <f t="shared" si="16"/>
        <v>75.126631990197609</v>
      </c>
      <c r="K84" s="94">
        <f t="shared" si="17"/>
        <v>74.861121280564888</v>
      </c>
    </row>
    <row r="85" spans="2:11">
      <c r="B85" s="5">
        <v>111</v>
      </c>
      <c r="C85" s="50">
        <v>145.76382392470609</v>
      </c>
      <c r="D85" s="6">
        <v>23.162026735819119</v>
      </c>
      <c r="E85" s="6">
        <v>17.399987647444007</v>
      </c>
      <c r="F85" s="50">
        <v>20.281007191631563</v>
      </c>
      <c r="G85" s="50"/>
      <c r="H85" s="6"/>
      <c r="I85" s="52">
        <v>0.7615058181880352</v>
      </c>
      <c r="J85" s="76">
        <f t="shared" si="16"/>
        <v>75.21329598944358</v>
      </c>
      <c r="K85" s="94">
        <f t="shared" si="17"/>
        <v>74.947478994019377</v>
      </c>
    </row>
    <row r="86" spans="2:11">
      <c r="B86" s="5">
        <v>112</v>
      </c>
      <c r="C86" s="50">
        <v>146.9077381041389</v>
      </c>
      <c r="D86" s="6">
        <v>23.372160917676677</v>
      </c>
      <c r="E86" s="6">
        <v>17.49015481838342</v>
      </c>
      <c r="F86" s="50">
        <v>20.431157868030049</v>
      </c>
      <c r="G86" s="50"/>
      <c r="H86" s="6"/>
      <c r="I86" s="52">
        <v>0.76238325799153106</v>
      </c>
      <c r="J86" s="76">
        <f t="shared" si="16"/>
        <v>75.299959988689551</v>
      </c>
      <c r="K86" s="94">
        <f t="shared" si="17"/>
        <v>75.033836707473881</v>
      </c>
    </row>
    <row r="87" spans="2:11">
      <c r="B87" s="5">
        <v>113</v>
      </c>
      <c r="C87" s="50">
        <v>148.04902221016243</v>
      </c>
      <c r="D87" s="6">
        <v>23.582308233504943</v>
      </c>
      <c r="E87" s="6">
        <v>17.579981522617746</v>
      </c>
      <c r="F87" s="50">
        <v>20.581144878061345</v>
      </c>
      <c r="G87" s="50"/>
      <c r="H87" s="6"/>
      <c r="I87" s="52">
        <v>0.76326069779502681</v>
      </c>
      <c r="J87" s="76">
        <f t="shared" si="16"/>
        <v>75.386623987935536</v>
      </c>
      <c r="K87" s="94">
        <f t="shared" si="17"/>
        <v>75.120194420928399</v>
      </c>
    </row>
    <row r="88" spans="2:11">
      <c r="B88" s="5">
        <v>114</v>
      </c>
      <c r="C88" s="50">
        <v>149.18768530290981</v>
      </c>
      <c r="D88" s="6">
        <v>23.792468567881055</v>
      </c>
      <c r="E88" s="6">
        <v>17.66947204180623</v>
      </c>
      <c r="F88" s="50">
        <v>20.730970304843645</v>
      </c>
      <c r="G88" s="50"/>
      <c r="H88" s="6"/>
      <c r="I88" s="52">
        <v>0.76413813759852267</v>
      </c>
      <c r="J88" s="76">
        <f t="shared" si="16"/>
        <v>75.473287987181507</v>
      </c>
      <c r="K88" s="94">
        <f t="shared" si="17"/>
        <v>75.206552134382903</v>
      </c>
    </row>
    <row r="89" spans="2:11">
      <c r="B89" s="5">
        <v>115</v>
      </c>
      <c r="C89" s="50">
        <v>150.32373640094792</v>
      </c>
      <c r="D89" s="6">
        <v>24.002641807400256</v>
      </c>
      <c r="E89" s="6">
        <v>17.758630566743491</v>
      </c>
      <c r="F89" s="50">
        <v>20.880636187071872</v>
      </c>
      <c r="G89" s="50"/>
      <c r="H89" s="6"/>
      <c r="I89" s="52">
        <v>0.76501557740201842</v>
      </c>
      <c r="J89" s="76">
        <f t="shared" si="16"/>
        <v>75.559951986427464</v>
      </c>
      <c r="K89" s="94">
        <f t="shared" si="17"/>
        <v>75.292909847837393</v>
      </c>
    </row>
    <row r="90" spans="2:11">
      <c r="B90" s="5">
        <v>116</v>
      </c>
      <c r="C90" s="50">
        <v>151.45718448151536</v>
      </c>
      <c r="D90" s="6">
        <v>24.212827840623181</v>
      </c>
      <c r="E90" s="6">
        <v>17.847461200059801</v>
      </c>
      <c r="F90" s="50">
        <v>21.030144520341491</v>
      </c>
      <c r="G90" s="50"/>
      <c r="H90" s="6"/>
      <c r="I90" s="52">
        <v>0.76589301720551428</v>
      </c>
      <c r="J90" s="76">
        <f t="shared" si="16"/>
        <v>75.646615985673435</v>
      </c>
      <c r="K90" s="94">
        <f t="shared" si="17"/>
        <v>75.379267561291897</v>
      </c>
    </row>
    <row r="91" spans="2:11">
      <c r="B91" s="5">
        <v>117</v>
      </c>
      <c r="C91" s="50">
        <v>152.58803848075902</v>
      </c>
      <c r="D91" s="6">
        <v>24.423026558025349</v>
      </c>
      <c r="E91" s="6">
        <v>17.935967958818601</v>
      </c>
      <c r="F91" s="50">
        <v>21.179497258421975</v>
      </c>
      <c r="G91" s="50"/>
      <c r="H91" s="6"/>
      <c r="I91" s="52">
        <v>0.76677045700901003</v>
      </c>
      <c r="J91" s="76">
        <f t="shared" si="16"/>
        <v>75.733279984919406</v>
      </c>
      <c r="K91" s="94">
        <f t="shared" si="17"/>
        <v>75.465625274746401</v>
      </c>
    </row>
    <row r="92" spans="2:11">
      <c r="B92" s="5">
        <v>118</v>
      </c>
      <c r="C92" s="50">
        <v>153.71630729396878</v>
      </c>
      <c r="D92" s="6">
        <v>24.633237851947925</v>
      </c>
      <c r="E92" s="6">
        <v>18.024154777015983</v>
      </c>
      <c r="F92" s="50">
        <v>21.328696314481952</v>
      </c>
      <c r="G92" s="50"/>
      <c r="H92" s="6"/>
      <c r="I92" s="52">
        <v>0.76764789681250589</v>
      </c>
      <c r="J92" s="76">
        <f t="shared" si="16"/>
        <v>75.819943984165377</v>
      </c>
      <c r="K92" s="94">
        <f t="shared" si="17"/>
        <v>75.551982988200905</v>
      </c>
    </row>
    <row r="93" spans="2:11">
      <c r="B93" s="5">
        <v>119</v>
      </c>
      <c r="C93" s="50">
        <v>154.84199977581099</v>
      </c>
      <c r="D93" s="6">
        <v>24.843461616550663</v>
      </c>
      <c r="E93" s="6">
        <v>18.112025507986587</v>
      </c>
      <c r="F93" s="50">
        <v>21.477743562268625</v>
      </c>
      <c r="G93" s="50"/>
      <c r="H93" s="6"/>
      <c r="I93" s="52">
        <v>0.76852533661600164</v>
      </c>
      <c r="J93" s="76">
        <f t="shared" si="16"/>
        <v>75.906607983411348</v>
      </c>
      <c r="K93" s="94">
        <f t="shared" si="17"/>
        <v>75.638340701655409</v>
      </c>
    </row>
    <row r="94" spans="2:11">
      <c r="B94" s="5">
        <v>120</v>
      </c>
      <c r="C94" s="50">
        <v>155.96512474055984</v>
      </c>
      <c r="D94" s="6">
        <v>25.053697747765945</v>
      </c>
      <c r="E94" s="6">
        <v>18.199583926720305</v>
      </c>
      <c r="F94" s="50">
        <v>21.626640837243123</v>
      </c>
      <c r="G94" s="50"/>
      <c r="H94" s="6"/>
      <c r="I94" s="52">
        <v>0.7694027764194975</v>
      </c>
      <c r="J94" s="76">
        <f t="shared" si="16"/>
        <v>75.993271982657319</v>
      </c>
      <c r="K94" s="94">
        <f t="shared" si="17"/>
        <v>75.724698415109913</v>
      </c>
    </row>
  </sheetData>
  <mergeCells count="8">
    <mergeCell ref="D53:F53"/>
    <mergeCell ref="I53:I54"/>
    <mergeCell ref="A1:O1"/>
    <mergeCell ref="A2:A4"/>
    <mergeCell ref="B2:G3"/>
    <mergeCell ref="J2:K3"/>
    <mergeCell ref="B37:E37"/>
    <mergeCell ref="B38:E3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8E200-F13A-954F-98AF-82194EAF9E21}">
  <sheetPr codeName="Sheet2">
    <tabColor rgb="FF7030A0"/>
  </sheetPr>
  <dimension ref="A2:L27"/>
  <sheetViews>
    <sheetView workbookViewId="0"/>
  </sheetViews>
  <sheetFormatPr defaultColWidth="10.625" defaultRowHeight="15.75"/>
  <cols>
    <col min="1" max="3" width="11" bestFit="1" customWidth="1"/>
    <col min="4" max="5" width="13.625" bestFit="1" customWidth="1"/>
    <col min="6" max="7" width="12.5" bestFit="1" customWidth="1"/>
    <col min="8" max="8" width="12.5" customWidth="1"/>
    <col min="9" max="9" width="13.625" customWidth="1"/>
    <col min="10" max="10" width="14.625" bestFit="1" customWidth="1"/>
    <col min="11" max="11" width="14.5" bestFit="1" customWidth="1"/>
    <col min="12" max="12" width="13.125" bestFit="1" customWidth="1"/>
  </cols>
  <sheetData>
    <row r="2" spans="1:12">
      <c r="D2" t="s">
        <v>101</v>
      </c>
    </row>
    <row r="3" spans="1:12">
      <c r="A3" s="5" t="s">
        <v>81</v>
      </c>
      <c r="B3" s="5" t="s">
        <v>82</v>
      </c>
      <c r="C3" s="5" t="s">
        <v>83</v>
      </c>
      <c r="D3" s="5" t="s">
        <v>185</v>
      </c>
      <c r="E3" s="5" t="s">
        <v>184</v>
      </c>
      <c r="F3" s="5" t="s">
        <v>84</v>
      </c>
      <c r="G3" s="5" t="s">
        <v>85</v>
      </c>
      <c r="H3" s="5" t="s">
        <v>100</v>
      </c>
      <c r="I3" s="5" t="s">
        <v>102</v>
      </c>
      <c r="J3" s="5" t="s">
        <v>182</v>
      </c>
      <c r="K3" s="5" t="s">
        <v>186</v>
      </c>
      <c r="L3" s="5" t="s">
        <v>183</v>
      </c>
    </row>
    <row r="4" spans="1:12">
      <c r="A4" s="6">
        <v>11.33980925</v>
      </c>
      <c r="B4" s="6">
        <v>24.176473321000003</v>
      </c>
      <c r="C4" s="7">
        <v>17.758141285500002</v>
      </c>
      <c r="D4" s="3">
        <v>2410</v>
      </c>
      <c r="E4" s="5">
        <v>1093</v>
      </c>
      <c r="F4" s="7">
        <v>0.43</v>
      </c>
      <c r="G4" s="7">
        <f>(F4/D4)*10000</f>
        <v>1.7842323651452281</v>
      </c>
      <c r="H4" s="7">
        <v>0.69</v>
      </c>
      <c r="I4">
        <f>(H4/D4)*10000</f>
        <v>2.8630705394190867</v>
      </c>
      <c r="J4" s="3">
        <v>3265</v>
      </c>
      <c r="K4" s="3">
        <v>1481</v>
      </c>
      <c r="L4" s="96">
        <f>(F4/J4)*10000</f>
        <v>1.3169984686064318</v>
      </c>
    </row>
    <row r="5" spans="1:12">
      <c r="A5" s="6">
        <v>24.176473321000003</v>
      </c>
      <c r="B5" s="6">
        <v>49.078694434000006</v>
      </c>
      <c r="C5" s="7">
        <v>36.627583877500001</v>
      </c>
      <c r="D5" s="3">
        <v>2429</v>
      </c>
      <c r="E5" s="3">
        <v>1101.6580186568638</v>
      </c>
      <c r="F5" s="7">
        <v>0.38</v>
      </c>
      <c r="G5" s="7">
        <f>(F5/D5)*10000</f>
        <v>1.5644298065047344</v>
      </c>
      <c r="H5" s="5">
        <v>0.64</v>
      </c>
      <c r="I5">
        <f>(H5/D5)*10000</f>
        <v>2.6348291477974475</v>
      </c>
      <c r="J5" s="3">
        <v>3285</v>
      </c>
      <c r="K5" s="3">
        <v>1489.6730937961286</v>
      </c>
      <c r="L5" s="96">
        <f t="shared" ref="L5:L8" si="0">(F5/J5)*10000</f>
        <v>1.1567732115677321</v>
      </c>
    </row>
    <row r="6" spans="1:12">
      <c r="A6" s="6">
        <v>49.078694434000006</v>
      </c>
      <c r="B6" s="6">
        <v>77.337499085000005</v>
      </c>
      <c r="C6" s="7">
        <v>63.208096759499995</v>
      </c>
      <c r="D6" s="3">
        <v>2496</v>
      </c>
      <c r="E6" s="3">
        <v>1131.5498008628074</v>
      </c>
      <c r="F6" s="7">
        <v>0.33</v>
      </c>
      <c r="G6" s="7">
        <f>(F6/D6)*10000</f>
        <v>1.3221153846153846</v>
      </c>
      <c r="H6" s="5">
        <v>0.56000000000000005</v>
      </c>
      <c r="I6">
        <f>(H6/D6)*10000</f>
        <v>2.2435897435897441</v>
      </c>
      <c r="J6" s="3">
        <v>3300</v>
      </c>
      <c r="K6" s="3">
        <v>1496.7264061682447</v>
      </c>
      <c r="L6" s="96">
        <f t="shared" si="0"/>
        <v>1</v>
      </c>
    </row>
    <row r="7" spans="1:12">
      <c r="A7" s="6">
        <v>75.523129605000008</v>
      </c>
      <c r="B7" s="6">
        <v>89.72057078600001</v>
      </c>
      <c r="C7" s="7">
        <v>82.621850195500016</v>
      </c>
      <c r="D7" s="3">
        <v>2538</v>
      </c>
      <c r="E7" s="3">
        <v>1150.2546741567794</v>
      </c>
      <c r="F7" s="7">
        <v>0.28999999999999998</v>
      </c>
      <c r="G7" s="7">
        <f>(F7/D7)*10000</f>
        <v>1.1426319936958234</v>
      </c>
      <c r="H7" s="5">
        <v>0.51</v>
      </c>
      <c r="I7">
        <f>(H7/D7)*10000</f>
        <v>2.0094562647754137</v>
      </c>
      <c r="J7" s="3">
        <v>3300</v>
      </c>
      <c r="K7" s="3">
        <v>1496.7264061682447</v>
      </c>
      <c r="L7" s="96">
        <f t="shared" si="0"/>
        <v>0.87878787878787878</v>
      </c>
    </row>
    <row r="8" spans="1:12">
      <c r="A8" s="6">
        <v>89.72057078600001</v>
      </c>
      <c r="B8" s="6">
        <v>130.40780637500001</v>
      </c>
      <c r="C8" s="7">
        <v>110.0641885805</v>
      </c>
      <c r="D8" s="3">
        <v>2544</v>
      </c>
      <c r="E8" s="3">
        <v>1153.6643178551378</v>
      </c>
      <c r="F8" s="7">
        <v>0.26</v>
      </c>
      <c r="G8" s="7">
        <f>(F8/D8)*10000</f>
        <v>1.0220125786163523</v>
      </c>
      <c r="H8" s="5">
        <v>0.47</v>
      </c>
      <c r="I8">
        <f>(H8/D8)*10000</f>
        <v>1.8474842767295596</v>
      </c>
      <c r="J8" s="3">
        <v>3309</v>
      </c>
      <c r="K8" s="3">
        <v>1501.2897715571009</v>
      </c>
      <c r="L8" s="96">
        <f t="shared" si="0"/>
        <v>0.78573587186461169</v>
      </c>
    </row>
    <row r="27" spans="5:5" ht="18.75">
      <c r="E27" s="28"/>
    </row>
  </sheetData>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64B65-4D14-B542-B411-7A0615E1160D}">
  <sheetPr codeName="Sheet3">
    <tabColor rgb="FF7030A0"/>
  </sheetPr>
  <dimension ref="A2:O55"/>
  <sheetViews>
    <sheetView workbookViewId="0"/>
  </sheetViews>
  <sheetFormatPr defaultColWidth="10.625" defaultRowHeight="15.75"/>
  <cols>
    <col min="1" max="1" width="36.5" bestFit="1" customWidth="1"/>
    <col min="3" max="3" width="13.5" bestFit="1" customWidth="1"/>
    <col min="4" max="4" width="17.5" bestFit="1" customWidth="1"/>
    <col min="6" max="6" width="13" bestFit="1" customWidth="1"/>
  </cols>
  <sheetData>
    <row r="2" spans="1:15">
      <c r="A2" t="s">
        <v>116</v>
      </c>
    </row>
    <row r="3" spans="1:15">
      <c r="B3" s="264" t="s">
        <v>117</v>
      </c>
      <c r="C3" s="264"/>
      <c r="D3" s="264"/>
      <c r="E3" s="264"/>
      <c r="F3" s="264"/>
      <c r="G3" s="264"/>
      <c r="H3" s="264"/>
      <c r="I3" s="264"/>
      <c r="J3" s="264"/>
      <c r="K3" s="264"/>
      <c r="L3" s="264"/>
      <c r="M3" s="264"/>
      <c r="N3" s="264"/>
      <c r="O3" s="264"/>
    </row>
    <row r="4" spans="1:15">
      <c r="A4" s="2" t="s">
        <v>118</v>
      </c>
      <c r="B4" s="5">
        <v>5</v>
      </c>
      <c r="C4" s="5">
        <v>7</v>
      </c>
      <c r="D4" s="5">
        <v>7</v>
      </c>
      <c r="E4" s="5">
        <v>11</v>
      </c>
      <c r="F4" s="5">
        <v>11</v>
      </c>
      <c r="G4" s="5">
        <v>25</v>
      </c>
      <c r="H4" s="5">
        <v>25</v>
      </c>
      <c r="I4" s="5">
        <v>50</v>
      </c>
      <c r="J4" s="5">
        <v>50</v>
      </c>
      <c r="K4" s="5">
        <v>75</v>
      </c>
      <c r="L4" s="5">
        <v>75</v>
      </c>
      <c r="M4" s="5">
        <v>100</v>
      </c>
      <c r="N4" s="5">
        <v>100</v>
      </c>
      <c r="O4" s="5">
        <v>135</v>
      </c>
    </row>
    <row r="5" spans="1:15">
      <c r="A5" s="2" t="s">
        <v>119</v>
      </c>
      <c r="B5" s="265">
        <v>6</v>
      </c>
      <c r="C5" s="265"/>
      <c r="D5" s="265">
        <v>9</v>
      </c>
      <c r="E5" s="265"/>
      <c r="F5" s="265">
        <v>18</v>
      </c>
      <c r="G5" s="265"/>
      <c r="H5" s="265">
        <v>37.5</v>
      </c>
      <c r="I5" s="265"/>
      <c r="J5" s="265">
        <v>62.5</v>
      </c>
      <c r="K5" s="265"/>
      <c r="L5" s="265">
        <v>87.5</v>
      </c>
      <c r="M5" s="265"/>
      <c r="N5" s="265">
        <v>117.5</v>
      </c>
      <c r="O5" s="265"/>
    </row>
    <row r="6" spans="1:15">
      <c r="A6" s="2" t="s">
        <v>120</v>
      </c>
      <c r="B6" s="265">
        <v>0.45</v>
      </c>
      <c r="C6" s="265"/>
      <c r="D6" s="265">
        <v>0.4</v>
      </c>
      <c r="E6" s="265"/>
      <c r="F6" s="265">
        <v>0.33</v>
      </c>
      <c r="G6" s="265"/>
      <c r="H6" s="265">
        <v>0.31</v>
      </c>
      <c r="I6" s="265"/>
      <c r="J6" s="265">
        <v>0.27</v>
      </c>
      <c r="K6" s="265"/>
      <c r="L6" s="265">
        <v>0.24</v>
      </c>
      <c r="M6" s="265"/>
      <c r="N6" s="265">
        <v>0.21</v>
      </c>
      <c r="O6" s="265"/>
    </row>
    <row r="8" spans="1:15">
      <c r="A8" s="2" t="s">
        <v>121</v>
      </c>
    </row>
    <row r="9" spans="1:15">
      <c r="K9" s="10"/>
      <c r="L9" s="10"/>
    </row>
    <row r="10" spans="1:15">
      <c r="A10" s="2" t="s">
        <v>122</v>
      </c>
      <c r="B10" s="8" t="s">
        <v>123</v>
      </c>
      <c r="C10" s="8" t="s">
        <v>124</v>
      </c>
      <c r="D10" s="8" t="s">
        <v>120</v>
      </c>
      <c r="I10" s="10"/>
      <c r="J10" s="10"/>
    </row>
    <row r="11" spans="1:15">
      <c r="A11" t="s">
        <v>125</v>
      </c>
      <c r="B11" s="7">
        <v>6</v>
      </c>
      <c r="C11" s="6">
        <v>36</v>
      </c>
      <c r="D11" s="7">
        <v>0.45</v>
      </c>
      <c r="I11" s="10"/>
      <c r="J11" s="10"/>
    </row>
    <row r="12" spans="1:15">
      <c r="B12" s="7">
        <v>9</v>
      </c>
      <c r="C12" s="6">
        <v>81</v>
      </c>
      <c r="D12" s="7">
        <v>0.4</v>
      </c>
      <c r="I12" s="10"/>
      <c r="J12" s="10"/>
    </row>
    <row r="13" spans="1:15">
      <c r="A13" t="s">
        <v>126</v>
      </c>
      <c r="B13" s="7">
        <v>18</v>
      </c>
      <c r="C13" s="6">
        <v>324</v>
      </c>
      <c r="D13" s="7">
        <v>0.33</v>
      </c>
      <c r="I13" s="10"/>
      <c r="J13" s="10"/>
    </row>
    <row r="14" spans="1:15">
      <c r="B14" s="7">
        <v>37.5</v>
      </c>
      <c r="C14" s="6">
        <v>1406.25</v>
      </c>
      <c r="D14" s="7">
        <v>0.31</v>
      </c>
      <c r="I14" s="10"/>
      <c r="J14" s="10"/>
    </row>
    <row r="15" spans="1:15">
      <c r="B15" s="7">
        <v>62.5</v>
      </c>
      <c r="C15" s="6">
        <v>3906.25</v>
      </c>
      <c r="D15" s="7">
        <v>0.27</v>
      </c>
      <c r="I15" s="10"/>
      <c r="J15" s="10"/>
    </row>
    <row r="16" spans="1:15">
      <c r="B16" s="7">
        <v>87.5</v>
      </c>
      <c r="C16" s="6">
        <v>7656.25</v>
      </c>
      <c r="D16" s="7">
        <v>0.24</v>
      </c>
    </row>
    <row r="17" spans="1:4">
      <c r="B17" s="7">
        <v>117.5</v>
      </c>
      <c r="C17" s="6">
        <v>13806.25</v>
      </c>
      <c r="D17" s="7">
        <v>0.21</v>
      </c>
    </row>
    <row r="19" spans="1:4">
      <c r="A19" s="2" t="s">
        <v>122</v>
      </c>
      <c r="B19" s="8" t="s">
        <v>123</v>
      </c>
      <c r="C19" s="8" t="s">
        <v>124</v>
      </c>
      <c r="D19" s="8" t="s">
        <v>120</v>
      </c>
    </row>
    <row r="20" spans="1:4">
      <c r="A20" t="s">
        <v>126</v>
      </c>
      <c r="B20" s="7">
        <v>18</v>
      </c>
      <c r="C20" s="6">
        <v>324</v>
      </c>
      <c r="D20" s="7">
        <v>0.33</v>
      </c>
    </row>
    <row r="21" spans="1:4">
      <c r="B21" s="7">
        <v>37.5</v>
      </c>
      <c r="C21" s="6">
        <v>1406.25</v>
      </c>
      <c r="D21" s="7">
        <v>0.31</v>
      </c>
    </row>
    <row r="22" spans="1:4">
      <c r="B22" s="7">
        <v>62.5</v>
      </c>
      <c r="C22" s="6">
        <v>3906.25</v>
      </c>
      <c r="D22" s="7">
        <v>0.27</v>
      </c>
    </row>
    <row r="23" spans="1:4">
      <c r="B23" s="7">
        <v>87.5</v>
      </c>
      <c r="C23" s="6">
        <v>7656.25</v>
      </c>
      <c r="D23" s="7">
        <v>0.24</v>
      </c>
    </row>
    <row r="24" spans="1:4">
      <c r="B24" s="7">
        <v>117.5</v>
      </c>
      <c r="C24" s="6">
        <v>13806.25</v>
      </c>
      <c r="D24" s="7">
        <v>0.21</v>
      </c>
    </row>
    <row r="27" spans="1:4">
      <c r="A27" t="s">
        <v>127</v>
      </c>
    </row>
    <row r="28" spans="1:4" ht="16.5" thickBot="1"/>
    <row r="29" spans="1:4">
      <c r="A29" s="74" t="s">
        <v>128</v>
      </c>
      <c r="B29" s="74"/>
    </row>
    <row r="30" spans="1:4">
      <c r="A30" s="71" t="s">
        <v>129</v>
      </c>
      <c r="B30" s="71">
        <v>0.99656093246964184</v>
      </c>
    </row>
    <row r="31" spans="1:4">
      <c r="A31" s="71" t="s">
        <v>130</v>
      </c>
      <c r="B31" s="71">
        <v>0.99313369212476199</v>
      </c>
    </row>
    <row r="32" spans="1:4">
      <c r="A32" s="71" t="s">
        <v>131</v>
      </c>
      <c r="B32" s="71">
        <v>0.99084492283301595</v>
      </c>
    </row>
    <row r="33" spans="1:9">
      <c r="A33" s="71" t="s">
        <v>132</v>
      </c>
      <c r="B33" s="71">
        <v>4.7069402741166553E-3</v>
      </c>
    </row>
    <row r="34" spans="1:9" ht="16.5" thickBot="1">
      <c r="A34" s="72" t="s">
        <v>133</v>
      </c>
      <c r="B34" s="72">
        <v>5</v>
      </c>
    </row>
    <row r="36" spans="1:9" ht="16.5" thickBot="1">
      <c r="A36" t="s">
        <v>134</v>
      </c>
    </row>
    <row r="37" spans="1:9">
      <c r="A37" s="73"/>
      <c r="B37" s="73" t="s">
        <v>139</v>
      </c>
      <c r="C37" s="73" t="s">
        <v>140</v>
      </c>
      <c r="D37" s="73" t="s">
        <v>141</v>
      </c>
      <c r="E37" s="73" t="s">
        <v>142</v>
      </c>
      <c r="F37" s="73" t="s">
        <v>143</v>
      </c>
    </row>
    <row r="38" spans="1:9">
      <c r="A38" s="71" t="s">
        <v>135</v>
      </c>
      <c r="B38" s="71">
        <v>1</v>
      </c>
      <c r="C38" s="71">
        <v>9.6135341397676991E-3</v>
      </c>
      <c r="D38" s="71">
        <v>9.6135341397676991E-3</v>
      </c>
      <c r="E38" s="71">
        <v>433.91603326132571</v>
      </c>
      <c r="F38" s="71">
        <v>2.4197514080650506E-4</v>
      </c>
    </row>
    <row r="39" spans="1:9">
      <c r="A39" s="71" t="s">
        <v>136</v>
      </c>
      <c r="B39" s="71">
        <v>3</v>
      </c>
      <c r="C39" s="71">
        <v>6.6465860232304113E-5</v>
      </c>
      <c r="D39" s="71">
        <v>2.2155286744101371E-5</v>
      </c>
      <c r="E39" s="71"/>
      <c r="F39" s="71"/>
    </row>
    <row r="40" spans="1:9" ht="16.5" thickBot="1">
      <c r="A40" s="72" t="s">
        <v>137</v>
      </c>
      <c r="B40" s="72">
        <v>4</v>
      </c>
      <c r="C40" s="72">
        <v>9.6800000000000028E-3</v>
      </c>
      <c r="D40" s="72"/>
      <c r="E40" s="72"/>
      <c r="F40" s="72"/>
    </row>
    <row r="41" spans="1:9" ht="16.5" thickBot="1"/>
    <row r="42" spans="1:9">
      <c r="A42" s="73"/>
      <c r="B42" s="73" t="s">
        <v>144</v>
      </c>
      <c r="C42" s="73" t="s">
        <v>132</v>
      </c>
      <c r="D42" s="73" t="s">
        <v>145</v>
      </c>
      <c r="E42" s="73" t="s">
        <v>146</v>
      </c>
      <c r="F42" s="73" t="s">
        <v>147</v>
      </c>
      <c r="G42" s="73" t="s">
        <v>148</v>
      </c>
      <c r="H42" s="73" t="s">
        <v>149</v>
      </c>
      <c r="I42" s="73" t="s">
        <v>150</v>
      </c>
    </row>
    <row r="43" spans="1:9">
      <c r="A43" s="71" t="s">
        <v>138</v>
      </c>
      <c r="B43" s="71">
        <v>0.35222662516845271</v>
      </c>
      <c r="C43" s="71">
        <v>4.3890930381389288E-3</v>
      </c>
      <c r="D43" s="71">
        <v>80.250434909396333</v>
      </c>
      <c r="E43" s="71">
        <v>4.2646740825928458E-6</v>
      </c>
      <c r="F43" s="71">
        <v>0.33825857224568101</v>
      </c>
      <c r="G43" s="71">
        <v>0.36619467809122441</v>
      </c>
      <c r="H43" s="71">
        <v>0.33825857224568101</v>
      </c>
      <c r="I43" s="71">
        <v>0.36619467809122441</v>
      </c>
    </row>
    <row r="44" spans="1:9" ht="16.5" thickBot="1">
      <c r="A44" s="72" t="s">
        <v>151</v>
      </c>
      <c r="B44" s="72">
        <v>-1.2418982224218697E-3</v>
      </c>
      <c r="C44" s="72">
        <v>5.9618789878213777E-5</v>
      </c>
      <c r="D44" s="72">
        <v>-20.830651292298217</v>
      </c>
      <c r="E44" s="72">
        <v>2.4197514080650528E-4</v>
      </c>
      <c r="F44" s="72">
        <v>-1.431631819995277E-3</v>
      </c>
      <c r="G44" s="72">
        <v>-1.0521646248484624E-3</v>
      </c>
      <c r="H44" s="72">
        <v>-1.431631819995277E-3</v>
      </c>
      <c r="I44" s="72">
        <v>-1.0521646248484624E-3</v>
      </c>
    </row>
    <row r="48" spans="1:9">
      <c r="A48" t="s">
        <v>152</v>
      </c>
    </row>
    <row r="49" spans="1:10" ht="16.5" thickBot="1">
      <c r="G49" s="8" t="s">
        <v>123</v>
      </c>
      <c r="H49" s="5" t="s">
        <v>159</v>
      </c>
      <c r="I49" s="5" t="s">
        <v>157</v>
      </c>
      <c r="J49" s="5" t="s">
        <v>158</v>
      </c>
    </row>
    <row r="50" spans="1:10">
      <c r="A50" s="73" t="s">
        <v>153</v>
      </c>
      <c r="B50" s="73" t="s">
        <v>154</v>
      </c>
      <c r="C50" s="73" t="s">
        <v>155</v>
      </c>
      <c r="D50" s="73" t="s">
        <v>156</v>
      </c>
      <c r="G50" s="7">
        <v>18</v>
      </c>
      <c r="H50" s="7">
        <v>0.33</v>
      </c>
      <c r="I50" s="7">
        <f xml:space="preserve"> -0.0012418982*G50 + 0.3522266252</f>
        <v>0.32987245759999995</v>
      </c>
      <c r="J50" s="7">
        <f xml:space="preserve"> 0.3627881688*EXP(-0.0046664463*G50)</f>
        <v>0.33356010483312182</v>
      </c>
    </row>
    <row r="51" spans="1:10">
      <c r="A51" s="71">
        <v>1</v>
      </c>
      <c r="B51" s="71">
        <v>0.32987245716485908</v>
      </c>
      <c r="C51" s="71">
        <v>1.2754283514093689E-4</v>
      </c>
      <c r="D51" s="71">
        <v>3.1288644390393264E-2</v>
      </c>
      <c r="G51" s="7">
        <v>37.5</v>
      </c>
      <c r="H51" s="7">
        <v>0.31</v>
      </c>
      <c r="I51" s="7">
        <f t="shared" ref="I51:I54" si="0" xml:space="preserve"> -0.0012418982*G51 + 0.3522266252</f>
        <v>0.3056554427</v>
      </c>
      <c r="J51" s="7">
        <f t="shared" ref="J51:J53" si="1" xml:space="preserve"> 0.3627881688*EXP(-0.0046664463*G51)</f>
        <v>0.30454759204592941</v>
      </c>
    </row>
    <row r="52" spans="1:10">
      <c r="A52" s="71">
        <v>2</v>
      </c>
      <c r="B52" s="71">
        <v>0.3056554418276326</v>
      </c>
      <c r="C52" s="71">
        <v>4.3445581723673965E-3</v>
      </c>
      <c r="D52" s="71">
        <v>1.0658014269352694</v>
      </c>
      <c r="G52" s="7">
        <v>62.5</v>
      </c>
      <c r="H52" s="7">
        <v>0.27</v>
      </c>
      <c r="I52" s="7">
        <f t="shared" si="0"/>
        <v>0.27460798769999994</v>
      </c>
      <c r="J52" s="7">
        <f t="shared" si="1"/>
        <v>0.27101284361078137</v>
      </c>
    </row>
    <row r="53" spans="1:10">
      <c r="A53" s="71">
        <v>3</v>
      </c>
      <c r="B53" s="71">
        <v>0.27460798626708582</v>
      </c>
      <c r="C53" s="71">
        <v>-4.6079862670858063E-3</v>
      </c>
      <c r="D53" s="71">
        <v>-1.1304252685565981</v>
      </c>
      <c r="G53" s="7">
        <v>87.5</v>
      </c>
      <c r="H53" s="7">
        <v>0.24</v>
      </c>
      <c r="I53" s="7">
        <f t="shared" si="0"/>
        <v>0.24356053269999997</v>
      </c>
      <c r="J53" s="7">
        <f t="shared" si="1"/>
        <v>0.2411707178788825</v>
      </c>
    </row>
    <row r="54" spans="1:10">
      <c r="A54" s="71">
        <v>4</v>
      </c>
      <c r="B54" s="71">
        <v>0.2435605307065391</v>
      </c>
      <c r="C54" s="71">
        <v>-3.5605307065391112E-3</v>
      </c>
      <c r="D54" s="71">
        <v>-0.87346481670157727</v>
      </c>
      <c r="G54" s="7">
        <v>117.5</v>
      </c>
      <c r="H54" s="7">
        <v>0.21</v>
      </c>
      <c r="I54" s="7">
        <f t="shared" si="0"/>
        <v>0.20630358669999999</v>
      </c>
      <c r="J54" s="7">
        <f xml:space="preserve"> 0.3627881688*EXP(-0.0046664463*G54)</f>
        <v>0.20966513581667967</v>
      </c>
    </row>
    <row r="55" spans="1:10" ht="16.5" thickBot="1">
      <c r="A55" s="72">
        <v>5</v>
      </c>
      <c r="B55" s="72">
        <v>0.20630358403388302</v>
      </c>
      <c r="C55" s="72">
        <v>3.6964159661169727E-3</v>
      </c>
      <c r="D55" s="72">
        <v>0.90680001393260812</v>
      </c>
    </row>
  </sheetData>
  <mergeCells count="15">
    <mergeCell ref="B3:O3"/>
    <mergeCell ref="B5:C5"/>
    <mergeCell ref="B6:C6"/>
    <mergeCell ref="D5:E5"/>
    <mergeCell ref="D6:E6"/>
    <mergeCell ref="F5:G5"/>
    <mergeCell ref="H5:I5"/>
    <mergeCell ref="F6:G6"/>
    <mergeCell ref="H6:I6"/>
    <mergeCell ref="J6:K6"/>
    <mergeCell ref="L6:M6"/>
    <mergeCell ref="N6:O6"/>
    <mergeCell ref="J5:K5"/>
    <mergeCell ref="L5:M5"/>
    <mergeCell ref="N5:O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130AC-717E-1F4D-B5D8-0FA0BA164D67}">
  <sheetPr codeName="Sheet4">
    <tabColor rgb="FFFFFF00"/>
  </sheetPr>
  <dimension ref="B1:BQ188"/>
  <sheetViews>
    <sheetView showGridLines="0" showRowColHeaders="0" workbookViewId="0">
      <selection activeCell="E9" sqref="E9"/>
    </sheetView>
  </sheetViews>
  <sheetFormatPr defaultColWidth="10.625" defaultRowHeight="15.75"/>
  <cols>
    <col min="1" max="1" width="2.625" style="164" customWidth="1"/>
    <col min="2" max="4" width="15.625" style="164" customWidth="1"/>
    <col min="5" max="5" width="25.625" style="164" customWidth="1"/>
    <col min="6" max="7" width="15.625" style="164" customWidth="1"/>
    <col min="8" max="8" width="10.625" style="164" customWidth="1"/>
    <col min="9" max="10" width="15.625" style="164" customWidth="1"/>
    <col min="11" max="11" width="18.125" style="164" customWidth="1"/>
    <col min="12" max="12" width="15.625" style="164" customWidth="1"/>
    <col min="13" max="13" width="12.125" style="164" hidden="1" customWidth="1"/>
    <col min="14" max="14" width="15.125" style="164" hidden="1" customWidth="1"/>
    <col min="15" max="15" width="13.125" style="164" hidden="1" customWidth="1"/>
    <col min="16" max="16" width="10.625" style="164" hidden="1" customWidth="1"/>
    <col min="17" max="17" width="12.5" style="164" hidden="1" customWidth="1"/>
    <col min="18" max="18" width="10.5" style="164" hidden="1" customWidth="1"/>
    <col min="19" max="19" width="12.625" style="164" hidden="1" customWidth="1"/>
    <col min="20" max="20" width="11.125" style="164" hidden="1" customWidth="1"/>
    <col min="21" max="21" width="13.125" style="164" hidden="1" customWidth="1"/>
    <col min="22" max="22" width="18" style="164" hidden="1" customWidth="1"/>
    <col min="23" max="26" width="10.625" style="164" hidden="1" customWidth="1"/>
    <col min="27" max="27" width="13.125" style="164" hidden="1" customWidth="1"/>
    <col min="28" max="36" width="10.625" style="164" hidden="1" customWidth="1"/>
    <col min="37" max="37" width="10.625" style="163" hidden="1" customWidth="1"/>
    <col min="38" max="42" width="0" style="163" hidden="1" customWidth="1"/>
    <col min="43" max="69" width="10.625" style="163"/>
    <col min="70" max="16384" width="10.625" style="164"/>
  </cols>
  <sheetData>
    <row r="1" spans="2:36" ht="20.100000000000001" customHeight="1">
      <c r="B1" s="292" t="s">
        <v>231</v>
      </c>
      <c r="C1" s="292"/>
      <c r="D1" s="292"/>
      <c r="E1" s="292"/>
      <c r="F1" s="292"/>
      <c r="G1" s="292"/>
      <c r="H1" s="292"/>
      <c r="I1" s="292"/>
      <c r="J1" s="292"/>
      <c r="K1" s="83"/>
      <c r="L1" s="83"/>
      <c r="M1" s="83"/>
      <c r="N1" s="83"/>
      <c r="O1" s="163"/>
      <c r="P1" s="163"/>
      <c r="Q1" s="163"/>
      <c r="R1" s="163"/>
      <c r="S1" s="61"/>
      <c r="T1" s="61"/>
      <c r="U1" s="61"/>
      <c r="V1" s="61"/>
      <c r="W1" s="61"/>
      <c r="X1" s="61"/>
      <c r="Y1" s="163"/>
      <c r="Z1" s="163"/>
      <c r="AA1" s="163"/>
      <c r="AB1" s="163"/>
      <c r="AC1" s="163"/>
      <c r="AD1" s="163"/>
      <c r="AE1" s="163"/>
      <c r="AF1" s="163"/>
      <c r="AG1" s="163"/>
      <c r="AH1" s="163"/>
      <c r="AI1" s="163"/>
      <c r="AJ1" s="163"/>
    </row>
    <row r="2" spans="2:36" ht="84.95" customHeight="1">
      <c r="B2" s="292"/>
      <c r="C2" s="292"/>
      <c r="D2" s="292"/>
      <c r="E2" s="292"/>
      <c r="F2" s="292"/>
      <c r="G2" s="292"/>
      <c r="H2" s="292"/>
      <c r="I2" s="292"/>
      <c r="J2" s="292"/>
      <c r="K2" s="83"/>
      <c r="L2" s="83"/>
      <c r="M2" s="83"/>
      <c r="N2" s="83"/>
      <c r="O2" s="163"/>
      <c r="P2" s="163"/>
      <c r="Q2" s="163"/>
      <c r="R2" s="163"/>
      <c r="S2" s="163"/>
      <c r="T2" s="163"/>
      <c r="U2" s="163"/>
      <c r="V2" s="163"/>
      <c r="W2" s="163"/>
      <c r="X2" s="163"/>
      <c r="Y2" s="163"/>
      <c r="Z2" s="163"/>
      <c r="AA2" s="163"/>
      <c r="AB2" s="163"/>
      <c r="AC2" s="163"/>
      <c r="AD2" s="163"/>
      <c r="AE2" s="163"/>
      <c r="AF2" s="163"/>
      <c r="AG2" s="163"/>
      <c r="AH2" s="163"/>
      <c r="AI2" s="163"/>
      <c r="AJ2" s="163"/>
    </row>
    <row r="3" spans="2:36" ht="20.100000000000001" customHeight="1">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row>
    <row r="4" spans="2:36" ht="20.100000000000001" customHeight="1" thickBot="1">
      <c r="B4" s="165" t="s">
        <v>165</v>
      </c>
      <c r="C4" s="166"/>
      <c r="D4" s="166"/>
      <c r="E4" s="167"/>
      <c r="F4" s="168"/>
      <c r="G4" s="169"/>
      <c r="H4" s="169"/>
      <c r="I4" s="169"/>
      <c r="J4" s="169"/>
      <c r="K4" s="170"/>
      <c r="L4" s="170"/>
      <c r="M4" s="170"/>
      <c r="N4" s="170"/>
      <c r="O4" s="163"/>
      <c r="P4" s="163"/>
      <c r="Q4" s="163"/>
      <c r="R4" s="163"/>
      <c r="S4" s="163"/>
      <c r="T4" s="163"/>
      <c r="U4" s="171"/>
      <c r="V4" s="163"/>
      <c r="W4" s="163"/>
      <c r="X4" s="163"/>
      <c r="Y4" s="163"/>
      <c r="Z4" s="163" t="s">
        <v>90</v>
      </c>
      <c r="AA4" s="163"/>
      <c r="AB4" s="163" t="s">
        <v>86</v>
      </c>
      <c r="AC4" s="163"/>
      <c r="AD4" s="163"/>
      <c r="AE4" s="163"/>
      <c r="AF4" s="163"/>
      <c r="AG4" s="163"/>
      <c r="AH4" s="163"/>
      <c r="AI4" s="163"/>
      <c r="AJ4" s="163"/>
    </row>
    <row r="5" spans="2:36" ht="20.100000000000001" customHeight="1">
      <c r="B5" s="172"/>
      <c r="C5" s="172"/>
      <c r="D5" s="172"/>
      <c r="E5" s="172"/>
      <c r="F5" s="172"/>
      <c r="G5" s="163"/>
      <c r="H5" s="163"/>
      <c r="I5" s="163"/>
      <c r="J5" s="163"/>
      <c r="K5" s="170"/>
      <c r="L5" s="170"/>
      <c r="M5" s="163"/>
      <c r="N5" s="163"/>
      <c r="O5" s="163"/>
      <c r="P5" s="163"/>
      <c r="Q5" s="163"/>
      <c r="R5" s="163"/>
      <c r="S5" s="163"/>
      <c r="T5" s="163"/>
      <c r="U5" s="171"/>
      <c r="V5" s="163"/>
      <c r="W5" s="163"/>
      <c r="X5" s="163"/>
      <c r="Y5" s="163"/>
      <c r="Z5" s="163"/>
      <c r="AA5" s="163"/>
      <c r="AB5" s="163"/>
      <c r="AC5" s="163"/>
      <c r="AD5" s="163"/>
      <c r="AE5" s="163"/>
      <c r="AF5" s="163"/>
      <c r="AG5" s="163"/>
      <c r="AH5" s="163"/>
      <c r="AI5" s="163"/>
      <c r="AJ5" s="163"/>
    </row>
    <row r="6" spans="2:36" ht="20.100000000000001" customHeight="1">
      <c r="B6" s="266" t="s">
        <v>52</v>
      </c>
      <c r="C6" s="266"/>
      <c r="D6" s="267"/>
      <c r="E6" s="173" t="s">
        <v>54</v>
      </c>
      <c r="F6" s="172"/>
      <c r="G6" s="163"/>
      <c r="H6" s="163"/>
      <c r="I6" s="170"/>
      <c r="J6" s="60"/>
      <c r="K6" s="163"/>
      <c r="L6" s="163"/>
      <c r="M6" s="163"/>
      <c r="N6" s="163"/>
      <c r="O6" s="163"/>
      <c r="P6" s="163"/>
      <c r="Q6" s="163"/>
      <c r="R6" s="163"/>
      <c r="S6" s="163"/>
      <c r="T6" s="163"/>
      <c r="U6" s="171"/>
      <c r="V6" s="163"/>
      <c r="W6" s="163"/>
      <c r="X6" s="163"/>
      <c r="Y6" s="163"/>
      <c r="Z6" s="163"/>
      <c r="AA6" s="163"/>
      <c r="AB6" s="285" t="s">
        <v>2</v>
      </c>
      <c r="AC6" s="286"/>
      <c r="AD6" s="170"/>
      <c r="AE6" s="163"/>
      <c r="AF6" s="163"/>
      <c r="AG6" s="163"/>
      <c r="AH6" s="163"/>
      <c r="AI6" s="163"/>
      <c r="AJ6" s="163"/>
    </row>
    <row r="7" spans="2:36" ht="20.100000000000001" hidden="1" customHeight="1">
      <c r="B7" s="266" t="s">
        <v>60</v>
      </c>
      <c r="C7" s="266"/>
      <c r="D7" s="267"/>
      <c r="E7" s="159">
        <v>2</v>
      </c>
      <c r="F7" s="172"/>
      <c r="G7" s="163"/>
      <c r="H7" s="174"/>
      <c r="I7" s="170"/>
      <c r="J7" s="60"/>
      <c r="K7" s="163"/>
      <c r="L7" s="163"/>
      <c r="M7" s="163"/>
      <c r="N7" s="163"/>
      <c r="O7" s="163"/>
      <c r="P7" s="163"/>
      <c r="Q7" s="163"/>
      <c r="R7" s="163"/>
      <c r="S7" s="163"/>
      <c r="T7" s="163"/>
      <c r="U7" s="171"/>
      <c r="V7" s="163"/>
      <c r="W7" s="163"/>
      <c r="X7" s="163"/>
      <c r="Y7" s="163"/>
      <c r="Z7" s="163"/>
      <c r="AA7" s="163"/>
      <c r="AB7" s="175"/>
      <c r="AC7" s="175" t="s">
        <v>3</v>
      </c>
      <c r="AD7" s="170"/>
      <c r="AE7" s="163"/>
      <c r="AF7" s="163"/>
      <c r="AG7" s="163"/>
      <c r="AH7" s="163"/>
      <c r="AI7" s="163"/>
      <c r="AJ7" s="163"/>
    </row>
    <row r="8" spans="2:36" ht="20.100000000000001" customHeight="1">
      <c r="B8" s="266" t="s">
        <v>61</v>
      </c>
      <c r="C8" s="266"/>
      <c r="D8" s="267"/>
      <c r="E8" s="176">
        <v>1</v>
      </c>
      <c r="F8" s="172"/>
      <c r="G8" s="163"/>
      <c r="H8" s="163"/>
      <c r="I8" s="170"/>
      <c r="J8" s="60"/>
      <c r="K8" s="163"/>
      <c r="L8" s="163"/>
      <c r="M8" s="163"/>
      <c r="N8" s="163"/>
      <c r="O8" s="163"/>
      <c r="P8" s="163"/>
      <c r="Q8" s="163"/>
      <c r="R8" s="163"/>
      <c r="S8" s="163"/>
      <c r="T8" s="163"/>
      <c r="U8" s="174">
        <v>2</v>
      </c>
      <c r="V8" s="163"/>
      <c r="W8" s="163"/>
      <c r="X8" s="163"/>
      <c r="Y8" s="163"/>
      <c r="Z8" s="163"/>
      <c r="AA8" s="163"/>
      <c r="AB8" s="175" t="s">
        <v>5</v>
      </c>
      <c r="AC8" s="175">
        <f>0.0000472912571538526*(Z17*Z17)- 0.0143907820290028*Z17 + 2.0275145422229</f>
        <v>1.618263062461083</v>
      </c>
      <c r="AD8" s="170"/>
      <c r="AE8" s="163"/>
      <c r="AF8" s="163"/>
      <c r="AG8" s="163"/>
      <c r="AH8" s="163"/>
      <c r="AI8" s="163"/>
      <c r="AJ8" s="163"/>
    </row>
    <row r="9" spans="2:36" ht="20.100000000000001" customHeight="1">
      <c r="B9" s="266" t="s">
        <v>51</v>
      </c>
      <c r="C9" s="266"/>
      <c r="D9" s="267"/>
      <c r="E9" s="177">
        <v>76</v>
      </c>
      <c r="F9" s="172" t="str">
        <f>IF(E9&gt;75.9,"No phosphorus impact on carcass yield is considered","")</f>
        <v>No phosphorus impact on carcass yield is considered</v>
      </c>
      <c r="G9" s="163"/>
      <c r="H9" s="163"/>
      <c r="I9" s="170"/>
      <c r="J9" s="60"/>
      <c r="K9" s="163"/>
      <c r="L9" s="163"/>
      <c r="M9" s="163"/>
      <c r="N9" s="163"/>
      <c r="O9" s="163"/>
      <c r="P9" s="163"/>
      <c r="Q9" s="163"/>
      <c r="R9" s="163"/>
      <c r="S9" s="163"/>
      <c r="T9" s="163" t="s">
        <v>53</v>
      </c>
      <c r="U9" s="163">
        <v>3</v>
      </c>
      <c r="V9" s="163"/>
      <c r="W9" s="163"/>
      <c r="X9" s="163"/>
      <c r="Y9" s="163"/>
      <c r="Z9" s="163"/>
      <c r="AA9" s="163"/>
      <c r="AD9" s="170"/>
      <c r="AE9" s="163"/>
      <c r="AF9" s="163"/>
      <c r="AG9" s="163"/>
      <c r="AH9" s="163"/>
      <c r="AI9" s="163"/>
      <c r="AJ9" s="163"/>
    </row>
    <row r="10" spans="2:36" ht="20.100000000000001" customHeight="1">
      <c r="B10" s="266" t="s">
        <v>4</v>
      </c>
      <c r="C10" s="266"/>
      <c r="D10" s="267"/>
      <c r="E10" s="159">
        <v>0.12</v>
      </c>
      <c r="F10" s="172"/>
      <c r="G10" s="163"/>
      <c r="H10" s="163"/>
      <c r="I10" s="170"/>
      <c r="J10" s="60"/>
      <c r="K10" s="163"/>
      <c r="L10" s="163"/>
      <c r="M10" s="163"/>
      <c r="N10" s="163"/>
      <c r="O10" s="163"/>
      <c r="P10" s="163"/>
      <c r="Q10" s="163"/>
      <c r="R10" s="163"/>
      <c r="S10" s="163"/>
      <c r="T10" s="163" t="s">
        <v>54</v>
      </c>
      <c r="U10" s="163">
        <v>4</v>
      </c>
      <c r="V10" s="163"/>
      <c r="W10" s="163"/>
      <c r="X10" s="163"/>
      <c r="Y10" s="163"/>
      <c r="Z10" s="163"/>
      <c r="AA10" s="163"/>
      <c r="AB10" s="285" t="s">
        <v>7</v>
      </c>
      <c r="AC10" s="286"/>
      <c r="AD10" s="170"/>
      <c r="AE10" s="163"/>
      <c r="AF10" s="163"/>
      <c r="AG10" s="163"/>
      <c r="AH10" s="163"/>
      <c r="AI10" s="163"/>
      <c r="AJ10" s="163"/>
    </row>
    <row r="11" spans="2:36" ht="20.100000000000001" hidden="1" customHeight="1">
      <c r="B11" s="266" t="s">
        <v>6</v>
      </c>
      <c r="C11" s="266"/>
      <c r="D11" s="267"/>
      <c r="E11" s="178">
        <f>COUNTIF(D78:D83,"&gt;0")</f>
        <v>5</v>
      </c>
      <c r="F11" s="172"/>
      <c r="G11" s="163"/>
      <c r="H11" s="163"/>
      <c r="I11" s="170"/>
      <c r="J11" s="170"/>
      <c r="K11" s="163"/>
      <c r="L11" s="163"/>
      <c r="M11" s="163"/>
      <c r="N11" s="163"/>
      <c r="O11" s="163"/>
      <c r="P11" s="163"/>
      <c r="Q11" s="163"/>
      <c r="R11" s="163"/>
      <c r="S11" s="163"/>
      <c r="T11" s="163"/>
      <c r="U11" s="163">
        <v>5</v>
      </c>
      <c r="V11" s="163"/>
      <c r="W11" s="163"/>
      <c r="X11" s="163"/>
      <c r="Y11" s="163"/>
      <c r="Z11" s="163"/>
      <c r="AA11" s="163"/>
      <c r="AB11" s="175"/>
      <c r="AC11" s="175" t="s">
        <v>3</v>
      </c>
      <c r="AD11" s="170"/>
      <c r="AE11" s="163"/>
      <c r="AF11" s="163"/>
      <c r="AG11" s="163"/>
      <c r="AH11" s="163"/>
      <c r="AI11" s="163"/>
      <c r="AJ11" s="163"/>
    </row>
    <row r="12" spans="2:36" ht="20.100000000000001" customHeight="1">
      <c r="B12" s="179"/>
      <c r="C12" s="179"/>
      <c r="D12" s="179"/>
      <c r="E12" s="179"/>
      <c r="F12" s="172"/>
      <c r="G12" s="163"/>
      <c r="H12" s="163"/>
      <c r="I12" s="163"/>
      <c r="J12" s="163"/>
      <c r="K12" s="163"/>
      <c r="L12" s="163"/>
      <c r="M12" s="163"/>
      <c r="N12" s="163"/>
      <c r="O12" s="163"/>
      <c r="P12" s="163"/>
      <c r="Q12" s="163"/>
      <c r="R12" s="163"/>
      <c r="S12" s="163"/>
      <c r="T12" s="163"/>
      <c r="U12" s="163">
        <v>6</v>
      </c>
      <c r="V12" s="163"/>
      <c r="W12" s="163"/>
      <c r="X12" s="163"/>
      <c r="Y12" s="163"/>
      <c r="Z12" s="163"/>
      <c r="AA12" s="163"/>
      <c r="AB12" s="175" t="s">
        <v>5</v>
      </c>
      <c r="AC12" s="175">
        <f>0.0000472912571538526*(Z18*Z18) - 0.0143907820290028*Z18 + 2.0275145422229</f>
        <v>1.4272170247335452</v>
      </c>
      <c r="AD12" s="170"/>
      <c r="AE12" s="163"/>
      <c r="AF12" s="163"/>
      <c r="AG12" s="163"/>
      <c r="AH12" s="163"/>
      <c r="AI12" s="163"/>
      <c r="AJ12" s="163"/>
    </row>
    <row r="13" spans="2:36" ht="20.100000000000001" customHeight="1" thickBot="1">
      <c r="B13" s="180" t="s">
        <v>0</v>
      </c>
      <c r="C13" s="181" t="s">
        <v>1</v>
      </c>
      <c r="D13" s="182"/>
      <c r="E13" s="182"/>
      <c r="F13" s="287" t="s">
        <v>8</v>
      </c>
      <c r="G13" s="287"/>
      <c r="H13" s="183" t="s">
        <v>164</v>
      </c>
      <c r="I13" s="297" t="s">
        <v>242</v>
      </c>
      <c r="J13" s="297"/>
      <c r="K13" s="163"/>
      <c r="L13" s="163"/>
      <c r="M13" s="163"/>
      <c r="N13" s="163"/>
      <c r="O13" s="163"/>
      <c r="P13" s="163"/>
      <c r="Q13" s="163"/>
      <c r="R13" s="163"/>
      <c r="S13" s="163"/>
      <c r="T13" s="163"/>
      <c r="U13" s="163"/>
      <c r="V13" s="163"/>
      <c r="W13" s="163"/>
      <c r="X13" s="163"/>
      <c r="Y13" s="163"/>
      <c r="Z13" s="163"/>
      <c r="AA13" s="163"/>
      <c r="AB13" s="163"/>
      <c r="AC13" s="163"/>
      <c r="AD13" s="170"/>
      <c r="AE13" s="163"/>
      <c r="AF13" s="163"/>
      <c r="AG13" s="163"/>
      <c r="AH13" s="163"/>
      <c r="AI13" s="163"/>
      <c r="AJ13" s="163"/>
    </row>
    <row r="14" spans="2:36" ht="20.100000000000001" customHeight="1">
      <c r="B14" s="151" t="s">
        <v>241</v>
      </c>
      <c r="C14" s="295" t="s">
        <v>75</v>
      </c>
      <c r="D14" s="296"/>
      <c r="E14" s="152" t="s">
        <v>87</v>
      </c>
      <c r="F14" s="153" t="s">
        <v>105</v>
      </c>
      <c r="G14" s="152" t="s">
        <v>10</v>
      </c>
      <c r="H14" s="154">
        <f t="shared" ref="H14:H19" si="0">E15*2.20462</f>
        <v>2513.2667999999999</v>
      </c>
      <c r="I14" s="153" t="s">
        <v>9</v>
      </c>
      <c r="J14" s="155" t="s">
        <v>10</v>
      </c>
      <c r="K14" s="163"/>
      <c r="L14" s="163"/>
      <c r="M14" s="163"/>
      <c r="N14" s="163"/>
      <c r="O14" s="163"/>
      <c r="P14" s="163"/>
      <c r="Q14" s="163"/>
      <c r="R14" s="163"/>
      <c r="S14" s="163"/>
      <c r="T14" s="163"/>
      <c r="U14" s="163"/>
      <c r="V14" s="163"/>
      <c r="W14" s="163"/>
      <c r="X14" s="163"/>
      <c r="Y14" s="163"/>
      <c r="Z14" s="163"/>
      <c r="AA14" s="163"/>
      <c r="AB14" s="285" t="s">
        <v>13</v>
      </c>
      <c r="AC14" s="286"/>
      <c r="AD14" s="170"/>
      <c r="AE14" s="163"/>
      <c r="AF14" s="163"/>
      <c r="AG14" s="163"/>
      <c r="AH14" s="163"/>
      <c r="AI14" s="163"/>
      <c r="AJ14" s="163"/>
    </row>
    <row r="15" spans="2:36" ht="20.100000000000001" customHeight="1">
      <c r="B15" s="156">
        <f>IF(C15&gt;0,1," ")</f>
        <v>1</v>
      </c>
      <c r="C15" s="157">
        <v>50</v>
      </c>
      <c r="D15" s="157">
        <v>90</v>
      </c>
      <c r="E15" s="105">
        <v>1140</v>
      </c>
      <c r="F15" s="158">
        <v>0.31</v>
      </c>
      <c r="G15" s="159">
        <v>274.70999999999998</v>
      </c>
      <c r="H15" s="154">
        <f t="shared" si="0"/>
        <v>2469.1743999999999</v>
      </c>
      <c r="I15" s="160">
        <f>IFERROR(VLOOKUP($C$13,$AB$7:$AC$8,2,FALSE)*H14/10000,"")</f>
        <v>0.40671268285497658</v>
      </c>
      <c r="J15" s="161">
        <v>279.72000000000003</v>
      </c>
      <c r="K15" s="163"/>
      <c r="L15" s="163"/>
      <c r="M15" s="163"/>
      <c r="N15" s="163"/>
      <c r="O15" s="163"/>
      <c r="P15" s="163"/>
      <c r="Q15" s="163"/>
      <c r="R15" s="163"/>
      <c r="S15" s="163"/>
      <c r="T15" s="163"/>
      <c r="U15" s="163"/>
      <c r="V15" s="163"/>
      <c r="W15" s="163"/>
      <c r="X15" s="163"/>
      <c r="Y15" s="163"/>
      <c r="Z15" s="163"/>
      <c r="AA15" s="163"/>
      <c r="AB15" s="175"/>
      <c r="AC15" s="175" t="s">
        <v>3</v>
      </c>
      <c r="AD15" s="170"/>
      <c r="AE15" s="163"/>
      <c r="AF15" s="163"/>
      <c r="AG15" s="163"/>
      <c r="AH15" s="163"/>
      <c r="AI15" s="163"/>
      <c r="AJ15" s="163"/>
    </row>
    <row r="16" spans="2:36" ht="20.100000000000001" customHeight="1">
      <c r="B16" s="156">
        <f>IF(D79&gt;0,(B15+1)," ")</f>
        <v>2</v>
      </c>
      <c r="C16" s="156">
        <f>IF(D79&gt;0,D15,"")</f>
        <v>90</v>
      </c>
      <c r="D16" s="157">
        <v>130</v>
      </c>
      <c r="E16" s="105">
        <v>1120</v>
      </c>
      <c r="F16" s="158">
        <v>0.28999999999999998</v>
      </c>
      <c r="G16" s="159">
        <v>260.44</v>
      </c>
      <c r="H16" s="154">
        <f t="shared" si="0"/>
        <v>2491.2205999999996</v>
      </c>
      <c r="I16" s="160">
        <f>IFERROR(VLOOKUP($C$13,$AB$11:$AC$12,2,FALSE)*H15/10000,"")</f>
        <v>0.35240477407162368</v>
      </c>
      <c r="J16" s="159">
        <v>263.02</v>
      </c>
      <c r="K16" s="163"/>
      <c r="L16" s="163"/>
      <c r="M16" s="163"/>
      <c r="N16" s="163"/>
      <c r="O16" s="163"/>
      <c r="P16" s="163"/>
      <c r="Q16" s="163" t="s">
        <v>178</v>
      </c>
      <c r="R16" s="163"/>
      <c r="S16" s="163" t="s">
        <v>160</v>
      </c>
      <c r="U16" s="184"/>
      <c r="V16" s="185" t="s">
        <v>80</v>
      </c>
      <c r="W16" s="185" t="s">
        <v>35</v>
      </c>
      <c r="X16" s="186" t="s">
        <v>103</v>
      </c>
      <c r="Y16" s="175" t="s">
        <v>104</v>
      </c>
      <c r="Z16" s="175" t="s">
        <v>11</v>
      </c>
      <c r="AA16" s="175" t="s">
        <v>115</v>
      </c>
      <c r="AB16" s="175" t="s">
        <v>5</v>
      </c>
      <c r="AC16" s="175">
        <f>0.0000472912571538526*(Z19*Z19) - 0.0143907820290028*Z19 + 2.0275145422229</f>
        <v>1.2495074394394472</v>
      </c>
      <c r="AD16" s="170"/>
      <c r="AE16" s="163"/>
      <c r="AF16" s="163"/>
      <c r="AG16" s="163"/>
      <c r="AH16" s="163"/>
      <c r="AI16" s="163"/>
      <c r="AJ16" s="163"/>
    </row>
    <row r="17" spans="2:69" ht="20.100000000000001" customHeight="1">
      <c r="B17" s="156">
        <f>IF(D80&gt;0,(B16+1)," ")</f>
        <v>3</v>
      </c>
      <c r="C17" s="156">
        <f>IF(D80&gt;0,D16,"")</f>
        <v>130</v>
      </c>
      <c r="D17" s="157">
        <v>180</v>
      </c>
      <c r="E17" s="105">
        <v>1130</v>
      </c>
      <c r="F17" s="158">
        <v>0.26</v>
      </c>
      <c r="G17" s="159">
        <v>247.49</v>
      </c>
      <c r="H17" s="154">
        <f t="shared" si="0"/>
        <v>2513.2667999999999</v>
      </c>
      <c r="I17" s="160">
        <f>IFERROR(VLOOKUP($C$13,$AB$15:$AC$16,2,FALSE)*H16/10000,"")</f>
        <v>0.31127986729848028</v>
      </c>
      <c r="J17" s="159">
        <v>249.4</v>
      </c>
      <c r="K17" s="163"/>
      <c r="L17" s="163"/>
      <c r="M17" s="163"/>
      <c r="N17" s="163"/>
      <c r="O17" s="163"/>
      <c r="P17" s="163"/>
      <c r="Q17" s="187">
        <f t="shared" ref="Q17:Q20" si="1">IFERROR(I15/AA17,"")</f>
        <v>1.3002550714245924</v>
      </c>
      <c r="R17" s="163"/>
      <c r="S17" s="187">
        <f t="shared" ref="S17:S20" si="2">IFERROR(F15/AA17,"")</f>
        <v>0.99106590262234673</v>
      </c>
      <c r="T17" s="188"/>
      <c r="U17" s="175" t="s">
        <v>12</v>
      </c>
      <c r="V17" s="189">
        <f t="shared" ref="V17:V20" si="3">IFERROR(AVERAGE(C15:D15),"")</f>
        <v>70</v>
      </c>
      <c r="W17" s="189">
        <f t="shared" ref="W17:W20" si="4">IF(D15-C15=0,0,D15-C15)</f>
        <v>40</v>
      </c>
      <c r="X17" s="190">
        <f t="shared" ref="X17:Y20" si="5">ROUND(CONVERT(C15,"lbm","kg"),0)</f>
        <v>23</v>
      </c>
      <c r="Y17" s="190">
        <f t="shared" si="5"/>
        <v>41</v>
      </c>
      <c r="Z17" s="190">
        <f t="shared" ref="Z17:Z22" si="6">CONVERT(V17,"lbm","kg")</f>
        <v>31.751465900000003</v>
      </c>
      <c r="AA17" s="75">
        <f xml:space="preserve"> -0.0012418982*Z17+ 0.3522266252</f>
        <v>0.31279453685142861</v>
      </c>
      <c r="AB17" s="163"/>
      <c r="AC17" s="163"/>
      <c r="AD17" s="170"/>
      <c r="AE17" s="163"/>
      <c r="AF17" s="163"/>
      <c r="AG17" s="163"/>
      <c r="AH17" s="163"/>
      <c r="AI17" s="163"/>
      <c r="AJ17" s="163"/>
    </row>
    <row r="18" spans="2:69" ht="20.100000000000001" customHeight="1">
      <c r="B18" s="156">
        <f>IF(D81&gt;0,(B17+1)," ")</f>
        <v>4</v>
      </c>
      <c r="C18" s="156">
        <f>IF(D81&gt;0,D17,"")</f>
        <v>180</v>
      </c>
      <c r="D18" s="157">
        <v>230</v>
      </c>
      <c r="E18" s="105">
        <v>1140</v>
      </c>
      <c r="F18" s="158">
        <v>0.24</v>
      </c>
      <c r="G18" s="159">
        <v>237.61</v>
      </c>
      <c r="H18" s="154">
        <f t="shared" si="0"/>
        <v>2513.2667999999999</v>
      </c>
      <c r="I18" s="160">
        <f>IFERROR(VLOOKUP($C$13,$AB$19:$AC$20,2,FALSE)*H17/10000,"")</f>
        <v>0.27602450043068805</v>
      </c>
      <c r="J18" s="159">
        <v>238.86</v>
      </c>
      <c r="K18" s="163"/>
      <c r="L18" s="163"/>
      <c r="M18" s="163"/>
      <c r="N18" s="163"/>
      <c r="O18" s="163"/>
      <c r="P18" s="163"/>
      <c r="Q18" s="187">
        <f t="shared" si="1"/>
        <v>1.2140923625717377</v>
      </c>
      <c r="R18" s="163"/>
      <c r="S18" s="187">
        <f t="shared" si="2"/>
        <v>0.99909765999437017</v>
      </c>
      <c r="T18" s="188"/>
      <c r="U18" s="175" t="s">
        <v>106</v>
      </c>
      <c r="V18" s="189">
        <f t="shared" si="3"/>
        <v>110</v>
      </c>
      <c r="W18" s="189">
        <f t="shared" si="4"/>
        <v>40</v>
      </c>
      <c r="X18" s="190">
        <f t="shared" si="5"/>
        <v>41</v>
      </c>
      <c r="Y18" s="190">
        <f t="shared" si="5"/>
        <v>59</v>
      </c>
      <c r="Z18" s="190">
        <f t="shared" si="6"/>
        <v>49.895160699999998</v>
      </c>
      <c r="AA18" s="75">
        <f t="shared" ref="AA18:AA22" si="7" xml:space="preserve"> -0.0012418982*Z18+ 0.3522266252</f>
        <v>0.29026191493795922</v>
      </c>
      <c r="AB18" s="285" t="s">
        <v>17</v>
      </c>
      <c r="AC18" s="286"/>
      <c r="AD18" s="170"/>
      <c r="AE18" s="163"/>
      <c r="AF18" s="163"/>
      <c r="AG18" s="163"/>
      <c r="AH18" s="163"/>
      <c r="AI18" s="163"/>
      <c r="AJ18" s="163"/>
    </row>
    <row r="19" spans="2:69" ht="20.100000000000001" customHeight="1">
      <c r="B19" s="156">
        <f>IF(D82&gt;0,(B18+1)," ")</f>
        <v>5</v>
      </c>
      <c r="C19" s="156">
        <f>IF(D82&gt;0,D18,"")</f>
        <v>230</v>
      </c>
      <c r="D19" s="157">
        <v>285</v>
      </c>
      <c r="E19" s="105">
        <v>1140</v>
      </c>
      <c r="F19" s="158">
        <v>0.23</v>
      </c>
      <c r="G19" s="159">
        <v>231.73</v>
      </c>
      <c r="H19" s="154">
        <f t="shared" si="0"/>
        <v>0</v>
      </c>
      <c r="I19" s="160">
        <f>IFERROR(VLOOKUP($C$13,$AB$42:$AC$43,2,FALSE)*H18/10000,"")</f>
        <v>0.24927328153197653</v>
      </c>
      <c r="J19" s="159">
        <v>232.35</v>
      </c>
      <c r="K19" s="163"/>
      <c r="L19" s="163"/>
      <c r="M19" s="163"/>
      <c r="N19" s="163"/>
      <c r="O19" s="163"/>
      <c r="P19" s="163"/>
      <c r="Q19" s="187">
        <f t="shared" si="1"/>
        <v>1.175028035038777</v>
      </c>
      <c r="R19" s="163"/>
      <c r="S19" s="187">
        <f t="shared" si="2"/>
        <v>0.98145534358358266</v>
      </c>
      <c r="T19" s="188"/>
      <c r="U19" s="175" t="s">
        <v>14</v>
      </c>
      <c r="V19" s="189">
        <f t="shared" si="3"/>
        <v>155</v>
      </c>
      <c r="W19" s="189">
        <f t="shared" si="4"/>
        <v>50</v>
      </c>
      <c r="X19" s="190">
        <f t="shared" si="5"/>
        <v>59</v>
      </c>
      <c r="Y19" s="190">
        <f t="shared" si="5"/>
        <v>82</v>
      </c>
      <c r="Z19" s="190">
        <f t="shared" si="6"/>
        <v>70.306817350000003</v>
      </c>
      <c r="AA19" s="75">
        <f t="shared" si="7"/>
        <v>0.26491271528530619</v>
      </c>
      <c r="AB19" s="191"/>
      <c r="AC19" s="175" t="s">
        <v>3</v>
      </c>
      <c r="AD19" s="170"/>
      <c r="AE19" s="163"/>
      <c r="AF19" s="163"/>
      <c r="AG19" s="163"/>
      <c r="AH19" s="163"/>
      <c r="AI19" s="163"/>
      <c r="AJ19" s="163"/>
    </row>
    <row r="20" spans="2:69" ht="20.100000000000001" customHeight="1">
      <c r="B20" s="156" t="str">
        <f>IF(D83&gt;0,(B19+1)," ")</f>
        <v xml:space="preserve"> </v>
      </c>
      <c r="C20" s="156" t="str">
        <f>IF(D83&gt;0,D19,"")</f>
        <v/>
      </c>
      <c r="D20" s="157"/>
      <c r="E20" s="105"/>
      <c r="F20" s="158"/>
      <c r="G20" s="159"/>
      <c r="H20" s="162"/>
      <c r="I20" s="160" t="str">
        <f>IFERROR(VLOOKUP($C$13,$AB$50:$AC$50,2,FALSE)*H19/10000,"")</f>
        <v/>
      </c>
      <c r="J20" s="159"/>
      <c r="K20" s="163"/>
      <c r="L20" s="163"/>
      <c r="M20" s="163"/>
      <c r="N20" s="163"/>
      <c r="O20" s="163"/>
      <c r="P20" s="163"/>
      <c r="Q20" s="187">
        <f t="shared" si="1"/>
        <v>1.1659052610635772</v>
      </c>
      <c r="R20" s="163"/>
      <c r="S20" s="187">
        <f t="shared" si="2"/>
        <v>1.0137406723629696</v>
      </c>
      <c r="T20" s="188"/>
      <c r="U20" s="175" t="s">
        <v>15</v>
      </c>
      <c r="V20" s="189">
        <f t="shared" si="3"/>
        <v>205</v>
      </c>
      <c r="W20" s="189">
        <f t="shared" si="4"/>
        <v>50</v>
      </c>
      <c r="X20" s="190">
        <f t="shared" si="5"/>
        <v>82</v>
      </c>
      <c r="Y20" s="190">
        <f t="shared" si="5"/>
        <v>104</v>
      </c>
      <c r="Z20" s="190">
        <f>CONVERT(V20,"lbm","kg")</f>
        <v>92.986435850000007</v>
      </c>
      <c r="AA20" s="75">
        <f t="shared" si="7"/>
        <v>0.23674693789346951</v>
      </c>
      <c r="AB20" s="191" t="s">
        <v>5</v>
      </c>
      <c r="AC20" s="175">
        <f>0.0000472912571538526*(Z20*Z20) - 0.0143907820290028*Z20 + 2.0275145422229</f>
        <v>1.0982697914550419</v>
      </c>
      <c r="AD20" s="170"/>
      <c r="AE20" s="163"/>
      <c r="AF20" s="163"/>
      <c r="AG20" s="163"/>
      <c r="AH20" s="163"/>
      <c r="AI20" s="163"/>
      <c r="AJ20" s="163"/>
    </row>
    <row r="21" spans="2:69" ht="20.100000000000001" customHeight="1">
      <c r="B21" s="192"/>
      <c r="C21" s="192"/>
      <c r="D21" s="192"/>
      <c r="E21" s="192"/>
      <c r="F21" s="192"/>
      <c r="G21" s="192"/>
      <c r="H21" s="192"/>
      <c r="I21" s="192"/>
      <c r="J21" s="192"/>
      <c r="K21" s="192"/>
      <c r="L21" s="163"/>
      <c r="M21" s="163"/>
      <c r="N21" s="163"/>
      <c r="O21" s="163"/>
      <c r="P21" s="163"/>
      <c r="Q21" s="187">
        <f>IFERROR(I19/AA21,"")</f>
        <v>1.2032139129427619</v>
      </c>
      <c r="R21" s="163"/>
      <c r="S21" s="187">
        <f>IFERROR(F19/AA21,"")</f>
        <v>1.1101839646674505</v>
      </c>
      <c r="T21" s="188"/>
      <c r="U21" s="175" t="s">
        <v>16</v>
      </c>
      <c r="V21" s="189">
        <f>IFERROR(AVERAGE(C19:D19),"")</f>
        <v>257.5</v>
      </c>
      <c r="W21" s="189">
        <f>IF(D19-C19=0,0,D19-C19)</f>
        <v>55</v>
      </c>
      <c r="X21" s="190">
        <f>ROUND(CONVERT(C19,"lbm","kg"),0)</f>
        <v>104</v>
      </c>
      <c r="Y21" s="190">
        <f>ROUND(CONVERT(D19,"lbm","kg"),0)</f>
        <v>129</v>
      </c>
      <c r="Z21" s="190">
        <f t="shared" si="6"/>
        <v>116.800035275</v>
      </c>
      <c r="AA21" s="75">
        <f t="shared" si="7"/>
        <v>0.20717287163204096</v>
      </c>
      <c r="AB21" s="163"/>
      <c r="AC21" s="163"/>
      <c r="AD21" s="170"/>
      <c r="AE21" s="163"/>
      <c r="AF21" s="163"/>
      <c r="AG21" s="163"/>
      <c r="AH21" s="163"/>
      <c r="AI21" s="163"/>
      <c r="AJ21" s="163"/>
    </row>
    <row r="22" spans="2:69" ht="20.100000000000001" customHeight="1" thickBot="1">
      <c r="B22" s="192"/>
      <c r="C22" s="192"/>
      <c r="D22" s="192"/>
      <c r="E22" s="192"/>
      <c r="F22" s="192"/>
      <c r="G22" s="192"/>
      <c r="H22" s="192"/>
      <c r="I22" s="192"/>
      <c r="J22" s="192"/>
      <c r="K22" s="192"/>
      <c r="L22" s="163"/>
      <c r="M22" s="163"/>
      <c r="N22" s="163"/>
      <c r="O22" s="163"/>
      <c r="P22" s="163"/>
      <c r="Q22" s="187" t="str">
        <f>IFERROR(I20/AA22,"")</f>
        <v/>
      </c>
      <c r="R22" s="163"/>
      <c r="S22" s="187" t="str">
        <f>IFERROR(F20/AA22,"")</f>
        <v/>
      </c>
      <c r="T22" s="188"/>
      <c r="U22" s="175" t="s">
        <v>16</v>
      </c>
      <c r="V22" s="189" t="str">
        <f>IFERROR(AVERAGE(C20:D20),"")</f>
        <v/>
      </c>
      <c r="W22" s="189" t="e">
        <f>IF(D20-C20=0,0,D20-C20)</f>
        <v>#VALUE!</v>
      </c>
      <c r="X22" s="190" t="e">
        <f>ROUND(CONVERT(C20,"lbm","kg"),0)</f>
        <v>#VALUE!</v>
      </c>
      <c r="Y22" s="190">
        <f>ROUND(CONVERT(D20,"lbm","kg"),0)</f>
        <v>0</v>
      </c>
      <c r="Z22" s="190" t="e">
        <f t="shared" si="6"/>
        <v>#VALUE!</v>
      </c>
      <c r="AA22" s="75" t="e">
        <f t="shared" si="7"/>
        <v>#VALUE!</v>
      </c>
      <c r="AB22" s="285" t="s">
        <v>19</v>
      </c>
      <c r="AC22" s="286"/>
      <c r="AD22" s="170"/>
      <c r="AE22" s="163"/>
      <c r="AF22" s="163"/>
      <c r="AG22" s="163"/>
      <c r="AH22" s="163"/>
      <c r="AI22" s="163"/>
      <c r="AJ22" s="163"/>
    </row>
    <row r="23" spans="2:69" s="196" customFormat="1" ht="24.95" customHeight="1" thickBot="1">
      <c r="B23" s="271" t="s">
        <v>236</v>
      </c>
      <c r="C23" s="272"/>
      <c r="D23" s="272"/>
      <c r="E23" s="272"/>
      <c r="F23" s="272"/>
      <c r="G23" s="272"/>
      <c r="H23" s="272"/>
      <c r="I23" s="272"/>
      <c r="J23" s="273"/>
      <c r="K23" s="193"/>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5"/>
      <c r="AI23" s="195"/>
      <c r="AJ23" s="195"/>
      <c r="AK23" s="195"/>
      <c r="AL23" s="195"/>
      <c r="AM23" s="195"/>
      <c r="AN23" s="195"/>
      <c r="AO23" s="195"/>
      <c r="AP23" s="195"/>
      <c r="AQ23" s="195"/>
      <c r="AR23" s="195"/>
      <c r="AS23" s="195"/>
      <c r="AT23" s="195"/>
      <c r="AU23" s="195"/>
      <c r="AV23" s="195"/>
      <c r="AW23" s="195"/>
      <c r="AX23" s="195"/>
      <c r="AY23" s="195"/>
      <c r="AZ23" s="195"/>
      <c r="BA23" s="195"/>
      <c r="BB23" s="195"/>
      <c r="BC23" s="195"/>
      <c r="BD23" s="195"/>
      <c r="BE23" s="195"/>
      <c r="BF23" s="195"/>
      <c r="BG23" s="195"/>
      <c r="BH23" s="195"/>
      <c r="BI23" s="195"/>
      <c r="BJ23" s="195"/>
      <c r="BK23" s="195"/>
      <c r="BL23" s="195"/>
      <c r="BM23" s="195"/>
      <c r="BN23" s="195"/>
      <c r="BO23" s="195"/>
      <c r="BP23" s="195"/>
      <c r="BQ23" s="195"/>
    </row>
    <row r="24" spans="2:69" s="196" customFormat="1" ht="24.95" customHeight="1">
      <c r="B24" s="274" t="str">
        <f>IFERROR((CONCATENATE("Using PIC biological requirement levels will "&amp;B66&amp;" the current growth rate"&amp;IF(C66=0,""," by ")&amp;IF(C66=0,"",FIXED(C66,2))&amp;IF(C66=0,"","%")&amp;IF(AND(C66=0,C67=0)," or"," and ")&amp;IF(AND(C66=0,C67=0),"",B67)&amp;" feed efficiency"&amp;IF(C67=0,""," by ")&amp;IF(C67=0,"",FIXED(C67,2))&amp;IF(C67=0,"","%")&amp;IF(AND(E6="Carcass",E9&lt;76),CONCATENATE(", and "&amp;B68&amp;" carcass yield"&amp;IF(C68=0,""," by ")&amp;IF(C68=0,"",FIXED(C68,2))&amp;IF(C68=0,"","%")),"")&amp;IF(C73=0,".",B73)&amp;IF(C73=0,"",FIXED(C73,2))&amp;IF(C73=0,""," per pig in ")&amp;IF(C73=0,"",G45)&amp;IF(C73=0,""," given the current ingredients and pig prices."))),"")</f>
        <v>Using PIC biological requirement levels will increase the current growth rate by 0.91% and improve feed efficiency by 0.22%; however, resulting in losses of $0.27 per pig in IOFFC given the current ingredients and pig prices.</v>
      </c>
      <c r="C24" s="275"/>
      <c r="D24" s="275"/>
      <c r="E24" s="275"/>
      <c r="F24" s="275"/>
      <c r="G24" s="275"/>
      <c r="H24" s="275"/>
      <c r="I24" s="275"/>
      <c r="J24" s="276"/>
      <c r="K24" s="193"/>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5"/>
      <c r="AI24" s="195"/>
      <c r="AJ24" s="195"/>
      <c r="AK24" s="195"/>
      <c r="AL24" s="195"/>
      <c r="AM24" s="195"/>
      <c r="AN24" s="195"/>
      <c r="AO24" s="195"/>
      <c r="AP24" s="195"/>
      <c r="AQ24" s="195"/>
      <c r="AR24" s="195"/>
      <c r="AS24" s="195"/>
      <c r="AT24" s="195"/>
      <c r="AU24" s="195"/>
      <c r="AV24" s="195"/>
      <c r="AW24" s="195"/>
      <c r="AX24" s="195"/>
      <c r="AY24" s="195"/>
      <c r="AZ24" s="195"/>
      <c r="BA24" s="195"/>
      <c r="BB24" s="195"/>
      <c r="BC24" s="195"/>
      <c r="BD24" s="195"/>
      <c r="BE24" s="195"/>
      <c r="BF24" s="195"/>
      <c r="BG24" s="195"/>
      <c r="BH24" s="195"/>
      <c r="BI24" s="195"/>
      <c r="BJ24" s="195"/>
      <c r="BK24" s="195"/>
      <c r="BL24" s="195"/>
      <c r="BM24" s="195"/>
      <c r="BN24" s="195"/>
      <c r="BO24" s="195"/>
      <c r="BP24" s="195"/>
      <c r="BQ24" s="195"/>
    </row>
    <row r="25" spans="2:69" s="196" customFormat="1" ht="24.95" customHeight="1">
      <c r="B25" s="277"/>
      <c r="C25" s="278"/>
      <c r="D25" s="278"/>
      <c r="E25" s="278"/>
      <c r="F25" s="278"/>
      <c r="G25" s="278"/>
      <c r="H25" s="278"/>
      <c r="I25" s="278"/>
      <c r="J25" s="279"/>
      <c r="K25" s="193"/>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5"/>
      <c r="AI25" s="195"/>
      <c r="AJ25" s="195"/>
      <c r="AK25" s="195"/>
      <c r="AL25" s="195"/>
      <c r="AM25" s="195"/>
      <c r="AN25" s="195"/>
      <c r="AO25" s="195"/>
      <c r="AP25" s="195"/>
      <c r="AQ25" s="195"/>
      <c r="AR25" s="195"/>
      <c r="AS25" s="195"/>
      <c r="AT25" s="195"/>
      <c r="AU25" s="195"/>
      <c r="AV25" s="195"/>
      <c r="AW25" s="195"/>
      <c r="AX25" s="195"/>
      <c r="AY25" s="195"/>
      <c r="AZ25" s="195"/>
      <c r="BA25" s="195"/>
      <c r="BB25" s="195"/>
      <c r="BC25" s="195"/>
      <c r="BD25" s="195"/>
      <c r="BE25" s="195"/>
      <c r="BF25" s="195"/>
      <c r="BG25" s="195"/>
      <c r="BH25" s="195"/>
      <c r="BI25" s="195"/>
      <c r="BJ25" s="195"/>
      <c r="BK25" s="195"/>
      <c r="BL25" s="195"/>
      <c r="BM25" s="195"/>
      <c r="BN25" s="195"/>
      <c r="BO25" s="195"/>
      <c r="BP25" s="195"/>
      <c r="BQ25" s="195"/>
    </row>
    <row r="26" spans="2:69" s="196" customFormat="1" ht="24.95" customHeight="1" thickBot="1">
      <c r="B26" s="280" t="str">
        <f>IFERROR(B75,"")</f>
        <v>In this scenario, it isn't economical to feed PIC STTD phosphorus biological levels.</v>
      </c>
      <c r="C26" s="281"/>
      <c r="D26" s="281"/>
      <c r="E26" s="281"/>
      <c r="F26" s="281"/>
      <c r="G26" s="281"/>
      <c r="H26" s="281"/>
      <c r="I26" s="281"/>
      <c r="J26" s="282"/>
      <c r="K26" s="193"/>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5"/>
      <c r="AI26" s="195"/>
      <c r="AJ26" s="195"/>
      <c r="AK26" s="195"/>
      <c r="AL26" s="195"/>
      <c r="AM26" s="195"/>
      <c r="AN26" s="195"/>
      <c r="AO26" s="195"/>
      <c r="AP26" s="195"/>
      <c r="AQ26" s="195"/>
      <c r="AR26" s="195"/>
      <c r="AS26" s="195"/>
      <c r="AT26" s="195"/>
      <c r="AU26" s="195"/>
      <c r="AV26" s="195"/>
      <c r="AW26" s="195"/>
      <c r="AX26" s="195"/>
      <c r="AY26" s="195"/>
      <c r="AZ26" s="195"/>
      <c r="BA26" s="195"/>
      <c r="BB26" s="195"/>
      <c r="BC26" s="195"/>
      <c r="BD26" s="195"/>
      <c r="BE26" s="195"/>
      <c r="BF26" s="195"/>
      <c r="BG26" s="195"/>
      <c r="BH26" s="195"/>
      <c r="BI26" s="195"/>
      <c r="BJ26" s="195"/>
      <c r="BK26" s="195"/>
      <c r="BL26" s="195"/>
      <c r="BM26" s="195"/>
      <c r="BN26" s="195"/>
      <c r="BO26" s="195"/>
      <c r="BP26" s="195"/>
      <c r="BQ26" s="195"/>
    </row>
    <row r="27" spans="2:69" ht="20.100000000000001" customHeight="1" thickBot="1">
      <c r="B27" s="150"/>
      <c r="C27" s="150"/>
      <c r="D27" s="150"/>
      <c r="E27" s="150"/>
      <c r="F27" s="150"/>
      <c r="G27" s="150"/>
      <c r="H27" s="150"/>
      <c r="I27" s="150"/>
      <c r="J27" s="150"/>
      <c r="K27" s="150"/>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63"/>
      <c r="AI27" s="163"/>
      <c r="AJ27" s="163"/>
    </row>
    <row r="28" spans="2:69" s="196" customFormat="1" ht="24.95" customHeight="1" thickBot="1">
      <c r="B28" s="271" t="s">
        <v>237</v>
      </c>
      <c r="C28" s="272"/>
      <c r="D28" s="272"/>
      <c r="E28" s="272"/>
      <c r="F28" s="272"/>
      <c r="G28" s="272"/>
      <c r="H28" s="272"/>
      <c r="I28" s="272"/>
      <c r="J28" s="273"/>
      <c r="K28" s="193"/>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5"/>
      <c r="AI28" s="195"/>
      <c r="AJ28" s="195"/>
      <c r="AK28" s="195"/>
      <c r="AL28" s="195"/>
      <c r="AM28" s="195"/>
      <c r="AN28" s="195"/>
      <c r="AO28" s="195"/>
      <c r="AP28" s="195"/>
      <c r="AQ28" s="195"/>
      <c r="AR28" s="195"/>
      <c r="AS28" s="195"/>
      <c r="AT28" s="195"/>
      <c r="AU28" s="195"/>
      <c r="AV28" s="195"/>
      <c r="AW28" s="195"/>
      <c r="AX28" s="195"/>
      <c r="AY28" s="195"/>
      <c r="AZ28" s="195"/>
      <c r="BA28" s="195"/>
      <c r="BB28" s="195"/>
      <c r="BC28" s="195"/>
      <c r="BD28" s="195"/>
      <c r="BE28" s="195"/>
      <c r="BF28" s="195"/>
      <c r="BG28" s="195"/>
      <c r="BH28" s="195"/>
      <c r="BI28" s="195"/>
      <c r="BJ28" s="195"/>
      <c r="BK28" s="195"/>
      <c r="BL28" s="195"/>
      <c r="BM28" s="195"/>
      <c r="BN28" s="195"/>
      <c r="BO28" s="195"/>
      <c r="BP28" s="195"/>
      <c r="BQ28" s="195"/>
    </row>
    <row r="29" spans="2:69" s="196" customFormat="1" ht="24.95" customHeight="1">
      <c r="B29" s="274" t="str">
        <f>IFERROR((CONCATENATE("Using PIC biological requirement levels will "&amp;B70&amp;" the current growth rate"&amp;IF(C70=0,""," by ")&amp;IF(C70=0,"",FIXED(C70,2))&amp;IF(C70=0,"","%")&amp;IF(AND(C70=0,C71=0)," or"," and ")&amp;IF(AND(C70=0,C71=0),"",B71)&amp;" feed efficiency"&amp;IF(C71=0,""," by ")&amp;IF(C71=0,"",FIXED(C71,2))&amp;IF(C71=0,"","%")&amp;IF(AND(E6="Carcass",E9&lt;76),CONCATENATE(", and "&amp;B72&amp;" carcass yield"&amp;IF(C72=0,""," by ")&amp;IF(C72=0,"",FIXED(C72,2))&amp;IF(C72=0,"","%")),"")&amp;IF(C74=0,".",B74)&amp;IF(C74=0,"",FIXED(C74,2))&amp;IF(C74=0,""," per pig in ")&amp;IF(C74=0,"",G47)&amp;IF(C74=0,""," given the current ingredients and pig prices."))),"")</f>
        <v>Using PIC biological requirement levels will increase the current growth rate by 0.91% and improve feed efficiency by 0.22%, resulting in gains of $0.64 per pig in IOFC given the current ingredients and pig prices.</v>
      </c>
      <c r="C29" s="275"/>
      <c r="D29" s="275"/>
      <c r="E29" s="275"/>
      <c r="F29" s="275"/>
      <c r="G29" s="275"/>
      <c r="H29" s="275"/>
      <c r="I29" s="275"/>
      <c r="J29" s="276"/>
      <c r="K29" s="193"/>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5"/>
      <c r="AI29" s="195"/>
      <c r="AJ29" s="195"/>
      <c r="AK29" s="195"/>
      <c r="AL29" s="195"/>
      <c r="AM29" s="195"/>
      <c r="AN29" s="195"/>
      <c r="AO29" s="195"/>
      <c r="AP29" s="195"/>
      <c r="AQ29" s="195"/>
      <c r="AR29" s="195"/>
      <c r="AS29" s="195"/>
      <c r="AT29" s="195"/>
      <c r="AU29" s="195"/>
      <c r="AV29" s="195"/>
      <c r="AW29" s="195"/>
      <c r="AX29" s="195"/>
      <c r="AY29" s="195"/>
      <c r="AZ29" s="195"/>
      <c r="BA29" s="195"/>
      <c r="BB29" s="195"/>
      <c r="BC29" s="195"/>
      <c r="BD29" s="195"/>
      <c r="BE29" s="195"/>
      <c r="BF29" s="195"/>
      <c r="BG29" s="195"/>
      <c r="BH29" s="195"/>
      <c r="BI29" s="195"/>
      <c r="BJ29" s="195"/>
      <c r="BK29" s="195"/>
      <c r="BL29" s="195"/>
      <c r="BM29" s="195"/>
      <c r="BN29" s="195"/>
      <c r="BO29" s="195"/>
      <c r="BP29" s="195"/>
      <c r="BQ29" s="195"/>
    </row>
    <row r="30" spans="2:69" s="196" customFormat="1" ht="24.95" customHeight="1">
      <c r="B30" s="277"/>
      <c r="C30" s="278"/>
      <c r="D30" s="278"/>
      <c r="E30" s="278"/>
      <c r="F30" s="278"/>
      <c r="G30" s="278"/>
      <c r="H30" s="278"/>
      <c r="I30" s="278"/>
      <c r="J30" s="279"/>
      <c r="K30" s="193"/>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5"/>
      <c r="AI30" s="195"/>
      <c r="AJ30" s="195"/>
      <c r="AK30" s="195"/>
      <c r="AL30" s="195"/>
      <c r="AM30" s="195"/>
      <c r="AN30" s="195"/>
      <c r="AO30" s="195"/>
      <c r="AP30" s="195"/>
      <c r="AQ30" s="195"/>
      <c r="AR30" s="195"/>
      <c r="AS30" s="195"/>
      <c r="AT30" s="195"/>
      <c r="AU30" s="195"/>
      <c r="AV30" s="195"/>
      <c r="AW30" s="195"/>
      <c r="AX30" s="195"/>
      <c r="AY30" s="195"/>
      <c r="AZ30" s="195"/>
      <c r="BA30" s="195"/>
      <c r="BB30" s="195"/>
      <c r="BC30" s="195"/>
      <c r="BD30" s="195"/>
      <c r="BE30" s="195"/>
      <c r="BF30" s="195"/>
      <c r="BG30" s="195"/>
      <c r="BH30" s="195"/>
      <c r="BI30" s="195"/>
      <c r="BJ30" s="195"/>
      <c r="BK30" s="195"/>
      <c r="BL30" s="195"/>
      <c r="BM30" s="195"/>
      <c r="BN30" s="195"/>
      <c r="BO30" s="195"/>
      <c r="BP30" s="195"/>
      <c r="BQ30" s="195"/>
    </row>
    <row r="31" spans="2:69" s="196" customFormat="1" ht="24.95" customHeight="1" thickBot="1">
      <c r="B31" s="280" t="str">
        <f>IFERROR(B76,"")</f>
        <v>In this scenario, it is economical to feed PIC STTD phosphorus biological levels.</v>
      </c>
      <c r="C31" s="281"/>
      <c r="D31" s="281"/>
      <c r="E31" s="281"/>
      <c r="F31" s="281"/>
      <c r="G31" s="281"/>
      <c r="H31" s="281"/>
      <c r="I31" s="281"/>
      <c r="J31" s="282"/>
      <c r="K31" s="193"/>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c r="BI31" s="195"/>
      <c r="BJ31" s="195"/>
      <c r="BK31" s="195"/>
      <c r="BL31" s="195"/>
      <c r="BM31" s="195"/>
      <c r="BN31" s="195"/>
      <c r="BO31" s="195"/>
      <c r="BP31" s="195"/>
      <c r="BQ31" s="195"/>
    </row>
    <row r="32" spans="2:69" ht="20.100000000000001" customHeight="1">
      <c r="B32" s="150"/>
      <c r="C32" s="150"/>
      <c r="D32" s="150"/>
      <c r="E32" s="150"/>
      <c r="F32" s="150"/>
      <c r="G32" s="150"/>
      <c r="H32" s="150"/>
      <c r="I32" s="150"/>
      <c r="J32" s="150"/>
      <c r="K32" s="150"/>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63"/>
      <c r="AI32" s="163"/>
      <c r="AJ32" s="163"/>
    </row>
    <row r="33" spans="2:36" ht="20.100000000000001" customHeight="1">
      <c r="B33" s="307" t="s">
        <v>232</v>
      </c>
      <c r="C33" s="283" t="s">
        <v>233</v>
      </c>
      <c r="D33" s="283"/>
      <c r="E33" s="283"/>
      <c r="F33" s="283"/>
      <c r="G33" s="283"/>
      <c r="H33" s="283"/>
      <c r="I33" s="283"/>
      <c r="J33" s="283"/>
      <c r="K33" s="163"/>
      <c r="L33" s="163"/>
      <c r="M33" s="163"/>
      <c r="N33" s="163"/>
      <c r="O33" s="163"/>
      <c r="P33" s="163"/>
      <c r="Q33" s="163"/>
      <c r="R33" s="163"/>
      <c r="S33" s="163"/>
      <c r="T33" s="163"/>
      <c r="U33" s="163"/>
      <c r="V33" s="163"/>
      <c r="W33" s="198"/>
      <c r="X33" s="198"/>
      <c r="Y33" s="198"/>
      <c r="Z33" s="163"/>
      <c r="AA33" s="163"/>
      <c r="AB33" s="170"/>
      <c r="AC33" s="170"/>
      <c r="AD33" s="170"/>
      <c r="AE33" s="170"/>
      <c r="AF33" s="163"/>
      <c r="AG33" s="163"/>
      <c r="AH33" s="163"/>
      <c r="AI33" s="163"/>
      <c r="AJ33" s="163"/>
    </row>
    <row r="34" spans="2:36" ht="20.100000000000001" customHeight="1">
      <c r="B34" s="308"/>
      <c r="C34" s="283"/>
      <c r="D34" s="283"/>
      <c r="E34" s="283"/>
      <c r="F34" s="283"/>
      <c r="G34" s="283"/>
      <c r="H34" s="283"/>
      <c r="I34" s="283"/>
      <c r="J34" s="283"/>
      <c r="K34" s="163"/>
      <c r="L34" s="163"/>
      <c r="M34" s="163"/>
      <c r="N34" s="163"/>
      <c r="O34" s="163"/>
      <c r="P34" s="163"/>
      <c r="Q34" s="163"/>
      <c r="R34" s="163"/>
      <c r="S34" s="163"/>
      <c r="T34" s="163"/>
      <c r="U34" s="163"/>
      <c r="V34" s="163"/>
      <c r="W34" s="198"/>
      <c r="X34" s="198"/>
      <c r="Y34" s="198"/>
      <c r="Z34" s="163"/>
      <c r="AA34" s="163"/>
      <c r="AB34" s="170"/>
      <c r="AC34" s="170"/>
      <c r="AD34" s="170"/>
      <c r="AE34" s="170"/>
      <c r="AF34" s="163"/>
      <c r="AG34" s="163"/>
      <c r="AH34" s="163"/>
      <c r="AI34" s="163"/>
      <c r="AJ34" s="163"/>
    </row>
    <row r="35" spans="2:36" ht="20.100000000000001" customHeight="1">
      <c r="B35" s="284" t="s">
        <v>238</v>
      </c>
      <c r="C35" s="284"/>
      <c r="D35" s="284"/>
      <c r="E35" s="284"/>
      <c r="F35" s="284"/>
      <c r="G35" s="284"/>
      <c r="H35" s="284"/>
      <c r="I35" s="284"/>
      <c r="J35" s="284"/>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63"/>
      <c r="AI35" s="163"/>
      <c r="AJ35" s="163"/>
    </row>
    <row r="36" spans="2:36" ht="20.100000000000001" customHeight="1">
      <c r="B36" s="284"/>
      <c r="C36" s="284"/>
      <c r="D36" s="284"/>
      <c r="E36" s="284"/>
      <c r="F36" s="284"/>
      <c r="G36" s="284"/>
      <c r="H36" s="284"/>
      <c r="I36" s="284"/>
      <c r="J36" s="284"/>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63"/>
      <c r="AI36" s="163"/>
      <c r="AJ36" s="163"/>
    </row>
    <row r="37" spans="2:36" ht="20.100000000000001" customHeight="1">
      <c r="B37" s="284"/>
      <c r="C37" s="284"/>
      <c r="D37" s="284"/>
      <c r="E37" s="284"/>
      <c r="F37" s="284"/>
      <c r="G37" s="284"/>
      <c r="H37" s="284"/>
      <c r="I37" s="284"/>
      <c r="J37" s="284"/>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63"/>
      <c r="AI37" s="163"/>
      <c r="AJ37" s="163"/>
    </row>
    <row r="38" spans="2:36" ht="20.100000000000001" customHeight="1">
      <c r="B38" s="284"/>
      <c r="C38" s="284"/>
      <c r="D38" s="284"/>
      <c r="E38" s="284"/>
      <c r="F38" s="284"/>
      <c r="G38" s="284"/>
      <c r="H38" s="284"/>
      <c r="I38" s="284"/>
      <c r="J38" s="284"/>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63"/>
      <c r="AI38" s="163"/>
      <c r="AJ38" s="163"/>
    </row>
    <row r="39" spans="2:36" ht="20.100000000000001" customHeight="1">
      <c r="B39" s="284"/>
      <c r="C39" s="284"/>
      <c r="D39" s="284"/>
      <c r="E39" s="284"/>
      <c r="F39" s="284"/>
      <c r="G39" s="284"/>
      <c r="H39" s="284"/>
      <c r="I39" s="284"/>
      <c r="J39" s="284"/>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63"/>
      <c r="AI39" s="163"/>
      <c r="AJ39" s="163"/>
    </row>
    <row r="40" spans="2:36" ht="20.100000000000001" customHeight="1">
      <c r="B40" s="284"/>
      <c r="C40" s="284"/>
      <c r="D40" s="284"/>
      <c r="E40" s="284"/>
      <c r="F40" s="284"/>
      <c r="G40" s="284"/>
      <c r="H40" s="284"/>
      <c r="I40" s="284"/>
      <c r="J40" s="284"/>
      <c r="K40" s="163"/>
      <c r="L40" s="163"/>
      <c r="M40" s="163"/>
      <c r="N40" s="163"/>
      <c r="O40" s="163"/>
      <c r="P40" s="163"/>
      <c r="Q40" s="163"/>
      <c r="R40" s="163"/>
      <c r="S40" s="163"/>
      <c r="T40" s="163"/>
      <c r="U40" s="198">
        <f>I15*$U$52</f>
        <v>0.74021708279605736</v>
      </c>
      <c r="V40" s="163"/>
      <c r="W40" s="198">
        <f>AA20*1.22</f>
        <v>0.2888312642300328</v>
      </c>
      <c r="X40" s="198">
        <f>W40*$U$51</f>
        <v>0.51556380665060852</v>
      </c>
      <c r="Y40" s="198">
        <f>W40*$U$50</f>
        <v>0.71630153529048135</v>
      </c>
      <c r="Z40" s="163"/>
      <c r="AA40" s="163"/>
      <c r="AB40" s="170"/>
      <c r="AC40" s="170"/>
      <c r="AD40" s="170"/>
      <c r="AE40" s="170"/>
      <c r="AF40" s="163"/>
      <c r="AG40" s="163"/>
      <c r="AH40" s="163"/>
      <c r="AI40" s="163"/>
      <c r="AJ40" s="163"/>
    </row>
    <row r="41" spans="2:36" ht="16.5" hidden="1" thickBot="1">
      <c r="B41" s="192"/>
      <c r="C41" s="192"/>
      <c r="D41" s="192"/>
      <c r="E41" s="192"/>
      <c r="F41" s="192"/>
      <c r="G41" s="192"/>
      <c r="H41" s="192"/>
      <c r="I41" s="192"/>
      <c r="J41" s="192"/>
      <c r="K41" s="192"/>
      <c r="L41" s="163"/>
      <c r="M41" s="163"/>
      <c r="N41" s="163"/>
      <c r="O41" s="163"/>
      <c r="P41" s="163"/>
      <c r="Q41" s="188"/>
      <c r="R41" s="163"/>
      <c r="S41" s="188"/>
      <c r="T41" s="188"/>
      <c r="U41" s="170"/>
      <c r="V41" s="189"/>
      <c r="W41" s="189"/>
      <c r="X41" s="199"/>
      <c r="Y41" s="199"/>
      <c r="Z41" s="199"/>
      <c r="AA41" s="141"/>
      <c r="AB41" s="234"/>
      <c r="AC41" s="235"/>
      <c r="AD41" s="170"/>
      <c r="AE41" s="163"/>
      <c r="AF41" s="163"/>
      <c r="AG41" s="163"/>
      <c r="AH41" s="163"/>
      <c r="AI41" s="163"/>
      <c r="AJ41" s="163"/>
    </row>
    <row r="42" spans="2:36" ht="33.6" hidden="1" customHeight="1" thickBot="1">
      <c r="B42" s="163"/>
      <c r="C42" s="298" t="s">
        <v>228</v>
      </c>
      <c r="D42" s="299"/>
      <c r="E42" s="300"/>
      <c r="F42" s="163"/>
      <c r="G42" s="298" t="s">
        <v>229</v>
      </c>
      <c r="H42" s="299"/>
      <c r="I42" s="300"/>
      <c r="J42" s="163"/>
      <c r="K42" s="163"/>
      <c r="L42" s="163"/>
      <c r="M42" s="163"/>
      <c r="N42" s="163"/>
      <c r="O42" s="163"/>
      <c r="P42" s="163"/>
      <c r="Q42" s="163"/>
      <c r="R42" s="163"/>
      <c r="S42" s="170"/>
      <c r="T42" s="188"/>
      <c r="U42" s="163"/>
      <c r="V42" s="189" t="s">
        <v>18</v>
      </c>
      <c r="W42" s="200">
        <f>SUM(W17:W21)</f>
        <v>235</v>
      </c>
      <c r="X42" s="163"/>
      <c r="Y42" s="163"/>
      <c r="Z42" s="163"/>
      <c r="AA42" s="163"/>
      <c r="AB42" s="175"/>
      <c r="AC42" s="175" t="s">
        <v>3</v>
      </c>
      <c r="AD42" s="170"/>
      <c r="AE42" s="163"/>
      <c r="AF42" s="163"/>
      <c r="AG42" s="163"/>
      <c r="AH42" s="163"/>
      <c r="AI42" s="163"/>
      <c r="AJ42" s="163"/>
    </row>
    <row r="43" spans="2:36" ht="74.25" hidden="1" customHeight="1" thickBot="1">
      <c r="B43" s="163"/>
      <c r="C43" s="268" t="s">
        <v>234</v>
      </c>
      <c r="D43" s="269"/>
      <c r="E43" s="270"/>
      <c r="F43" s="163"/>
      <c r="G43" s="268" t="s">
        <v>235</v>
      </c>
      <c r="H43" s="269"/>
      <c r="I43" s="270"/>
      <c r="J43" s="163"/>
      <c r="K43" s="163"/>
      <c r="L43" s="163"/>
      <c r="M43" s="163"/>
      <c r="N43" s="163"/>
      <c r="O43" s="163"/>
      <c r="P43" s="163"/>
      <c r="Q43" s="163"/>
      <c r="R43" s="163"/>
      <c r="S43" s="170"/>
      <c r="T43" s="188"/>
      <c r="U43" s="163"/>
      <c r="V43" s="163"/>
      <c r="W43" s="163"/>
      <c r="X43" s="163"/>
      <c r="Y43" s="163"/>
      <c r="Z43" s="163"/>
      <c r="AA43" s="163"/>
      <c r="AB43" s="175" t="s">
        <v>5</v>
      </c>
      <c r="AC43" s="175">
        <f>0.0000472912571538526*(Z21*Z21) - 0.0143907820290028*Z21 + 2.0275145422229</f>
        <v>0.99182976328647854</v>
      </c>
      <c r="AD43" s="170"/>
      <c r="AF43" s="163"/>
      <c r="AG43" s="163"/>
      <c r="AH43" s="163"/>
      <c r="AI43" s="163"/>
      <c r="AJ43" s="163"/>
    </row>
    <row r="44" spans="2:36" ht="24.6" hidden="1" customHeight="1">
      <c r="B44" s="163"/>
      <c r="C44" s="301" t="s">
        <v>222</v>
      </c>
      <c r="D44" s="302"/>
      <c r="E44" s="303"/>
      <c r="F44" s="163"/>
      <c r="G44" s="301" t="s">
        <v>222</v>
      </c>
      <c r="H44" s="302"/>
      <c r="I44" s="303"/>
      <c r="J44" s="163"/>
      <c r="K44" s="163"/>
      <c r="L44" s="163"/>
      <c r="M44" s="163"/>
      <c r="N44" s="163"/>
      <c r="O44" s="163"/>
      <c r="P44" s="163"/>
      <c r="Q44" s="163"/>
      <c r="R44" s="163"/>
      <c r="S44" s="170"/>
      <c r="T44" s="188"/>
      <c r="U44" s="163"/>
      <c r="V44" s="163"/>
      <c r="W44" s="163"/>
      <c r="X44" s="163"/>
      <c r="Y44" s="163"/>
      <c r="Z44" s="163"/>
      <c r="AA44" s="163"/>
      <c r="AB44" s="170"/>
      <c r="AC44" s="170"/>
      <c r="AD44" s="170"/>
      <c r="AF44" s="163"/>
      <c r="AG44" s="163"/>
      <c r="AH44" s="163"/>
      <c r="AI44" s="163"/>
      <c r="AJ44" s="163"/>
    </row>
    <row r="45" spans="2:36" ht="21" hidden="1">
      <c r="B45" s="163"/>
      <c r="C45" s="290" t="s">
        <v>225</v>
      </c>
      <c r="D45" s="291"/>
      <c r="E45" s="137">
        <f>IFERROR(F55,"")</f>
        <v>9.1465467030851615E-3</v>
      </c>
      <c r="F45" s="163"/>
      <c r="G45" s="290" t="str">
        <f>IF($E$10&gt;0,"IOFFC","IOFC")</f>
        <v>IOFFC</v>
      </c>
      <c r="H45" s="291"/>
      <c r="I45" s="142">
        <f>IFERROR(IF($G$45="IOFFC",$F$63,$F$62),"")</f>
        <v>-0.26514592483948718</v>
      </c>
      <c r="J45" s="163"/>
      <c r="K45" s="163"/>
      <c r="L45" s="163"/>
      <c r="M45" s="163"/>
      <c r="N45" s="163"/>
      <c r="O45" s="163"/>
      <c r="P45" s="163"/>
      <c r="Q45" s="163"/>
      <c r="R45" s="163"/>
      <c r="S45" s="170"/>
      <c r="T45" s="170"/>
      <c r="U45" s="163"/>
      <c r="V45" s="163"/>
      <c r="W45" s="163"/>
      <c r="X45" s="163"/>
      <c r="Y45" s="163"/>
      <c r="Z45" s="163"/>
      <c r="AA45" s="163"/>
      <c r="AD45" s="170"/>
      <c r="AE45" s="163"/>
      <c r="AF45" s="163"/>
      <c r="AG45" s="163"/>
      <c r="AH45" s="163"/>
      <c r="AI45" s="163"/>
      <c r="AJ45" s="163"/>
    </row>
    <row r="46" spans="2:36" ht="21" hidden="1">
      <c r="B46" s="163"/>
      <c r="C46" s="290" t="s">
        <v>226</v>
      </c>
      <c r="D46" s="291"/>
      <c r="E46" s="137">
        <f>IFERROR(F56,"")</f>
        <v>2.1727118633678611E-3</v>
      </c>
      <c r="F46" s="163"/>
      <c r="G46" s="232" t="s">
        <v>223</v>
      </c>
      <c r="H46" s="231"/>
      <c r="I46" s="137"/>
      <c r="J46" s="163"/>
      <c r="K46" s="163"/>
      <c r="L46" s="163"/>
      <c r="M46" s="163"/>
      <c r="N46" s="163"/>
      <c r="O46" s="163"/>
      <c r="P46" s="163"/>
      <c r="Q46" s="163"/>
      <c r="R46" s="163"/>
      <c r="S46" s="163"/>
      <c r="T46" s="163"/>
      <c r="U46" s="163"/>
      <c r="V46" s="163"/>
      <c r="W46" s="163"/>
      <c r="X46" s="163"/>
      <c r="Y46" s="163"/>
      <c r="Z46" s="163"/>
      <c r="AA46" s="163"/>
      <c r="AB46" s="288" t="s">
        <v>113</v>
      </c>
      <c r="AC46" s="288"/>
      <c r="AD46" s="170"/>
      <c r="AE46" s="163"/>
      <c r="AF46" s="163"/>
      <c r="AG46" s="163"/>
      <c r="AH46" s="163"/>
      <c r="AI46" s="163"/>
      <c r="AJ46" s="163"/>
    </row>
    <row r="47" spans="2:36" ht="21.75" hidden="1" thickBot="1">
      <c r="B47" s="163"/>
      <c r="C47" s="230" t="s">
        <v>224</v>
      </c>
      <c r="D47" s="231"/>
      <c r="E47" s="137">
        <f>IFERROR(F57,"")</f>
        <v>-3.0315977951790077E-3</v>
      </c>
      <c r="F47" s="163"/>
      <c r="G47" s="228" t="s">
        <v>227</v>
      </c>
      <c r="H47" s="229"/>
      <c r="I47" s="143">
        <f>IFERROR($L$62,"")</f>
        <v>0.64065345208527447</v>
      </c>
      <c r="J47" s="163"/>
      <c r="K47" s="163"/>
      <c r="L47" s="163"/>
      <c r="M47" s="163"/>
      <c r="N47" s="163"/>
      <c r="O47" s="163"/>
      <c r="P47" s="163"/>
      <c r="Q47" s="163"/>
      <c r="R47" s="163"/>
      <c r="S47" s="163"/>
      <c r="T47" s="163"/>
      <c r="U47" s="163"/>
      <c r="V47" s="163"/>
      <c r="W47" s="163"/>
      <c r="X47" s="163"/>
      <c r="Y47" s="163"/>
      <c r="Z47" s="163"/>
      <c r="AA47" s="163"/>
      <c r="AB47" s="233"/>
      <c r="AC47" s="233"/>
      <c r="AD47" s="170"/>
      <c r="AE47" s="163"/>
      <c r="AF47" s="163"/>
      <c r="AG47" s="163"/>
      <c r="AH47" s="163"/>
      <c r="AI47" s="163"/>
      <c r="AJ47" s="163"/>
    </row>
    <row r="48" spans="2:36" ht="21" hidden="1">
      <c r="B48" s="163"/>
      <c r="C48" s="304" t="s">
        <v>223</v>
      </c>
      <c r="D48" s="305"/>
      <c r="E48" s="306"/>
      <c r="F48" s="163"/>
      <c r="G48" s="163"/>
      <c r="H48" s="163"/>
      <c r="J48" s="163"/>
      <c r="K48" s="163"/>
      <c r="L48" s="163"/>
      <c r="M48" s="163"/>
      <c r="N48" s="163"/>
      <c r="O48" s="163"/>
      <c r="P48" s="163"/>
      <c r="Q48" s="163"/>
      <c r="R48" s="163"/>
      <c r="S48" s="163"/>
      <c r="T48" s="163"/>
      <c r="U48" s="163"/>
      <c r="V48" s="163"/>
      <c r="W48" s="163"/>
      <c r="X48" s="163"/>
      <c r="Y48" s="163"/>
      <c r="Z48" s="163"/>
      <c r="AA48" s="163"/>
      <c r="AB48" s="233"/>
      <c r="AC48" s="233"/>
      <c r="AD48" s="170"/>
      <c r="AE48" s="163"/>
      <c r="AF48" s="163"/>
      <c r="AG48" s="163"/>
      <c r="AH48" s="163"/>
      <c r="AI48" s="163"/>
      <c r="AJ48" s="163"/>
    </row>
    <row r="49" spans="2:36" ht="20.45" hidden="1" customHeight="1">
      <c r="B49" s="163"/>
      <c r="C49" s="201" t="s">
        <v>225</v>
      </c>
      <c r="D49" s="170"/>
      <c r="E49" s="137">
        <f>IFERROR(L55,"")</f>
        <v>9.1458591039931415E-3</v>
      </c>
      <c r="F49" s="163"/>
      <c r="G49" s="163"/>
      <c r="H49" s="163"/>
      <c r="I49" s="163"/>
      <c r="J49" s="163"/>
      <c r="K49" s="163"/>
      <c r="L49" s="163"/>
      <c r="M49" s="163"/>
      <c r="N49" s="163"/>
      <c r="O49" s="163"/>
      <c r="P49" s="163"/>
      <c r="Q49" s="163"/>
      <c r="R49" s="163"/>
      <c r="S49" s="163"/>
      <c r="T49" s="163"/>
      <c r="U49" s="163"/>
      <c r="V49" s="163"/>
      <c r="W49" s="163"/>
      <c r="X49" s="163"/>
      <c r="Y49" s="163"/>
      <c r="Z49" s="163"/>
      <c r="AA49" s="163"/>
      <c r="AB49" s="233"/>
      <c r="AC49" s="233"/>
      <c r="AD49" s="170"/>
      <c r="AE49" s="163"/>
      <c r="AF49" s="163"/>
      <c r="AG49" s="163"/>
      <c r="AH49" s="163"/>
      <c r="AI49" s="163"/>
      <c r="AJ49" s="163"/>
    </row>
    <row r="50" spans="2:36" ht="22.35" hidden="1" customHeight="1">
      <c r="B50" s="163"/>
      <c r="C50" s="201" t="s">
        <v>226</v>
      </c>
      <c r="D50" s="202"/>
      <c r="E50" s="137">
        <f>IFERROR(L56,"")</f>
        <v>2.1721773946798617E-3</v>
      </c>
      <c r="F50" s="163"/>
      <c r="G50" s="163"/>
      <c r="H50" s="163"/>
      <c r="I50" s="163"/>
      <c r="J50" s="163"/>
      <c r="K50" s="163"/>
      <c r="L50" s="163"/>
      <c r="M50" s="163"/>
      <c r="N50" s="163"/>
      <c r="O50" s="163"/>
      <c r="P50" s="163"/>
      <c r="Q50" s="163"/>
      <c r="R50" s="163"/>
      <c r="S50" s="289" t="s">
        <v>190</v>
      </c>
      <c r="T50" s="289"/>
      <c r="U50" s="203">
        <v>2.48</v>
      </c>
      <c r="V50" s="163"/>
      <c r="W50" s="198">
        <f>AA17*1.22</f>
        <v>0.38160933495874289</v>
      </c>
      <c r="X50" s="198">
        <f>W50*$U$51</f>
        <v>0.68117266290135603</v>
      </c>
      <c r="Y50" s="198">
        <f>W50*$U$50</f>
        <v>0.94639115069768232</v>
      </c>
      <c r="Z50" s="163"/>
      <c r="AA50" s="163"/>
      <c r="AB50" s="175" t="s">
        <v>5</v>
      </c>
      <c r="AC50" s="175" t="e">
        <f>0.0000472912571538526*(Z22*Z22) - 0.0143907820290028*Z22 + 2.0275145422229</f>
        <v>#VALUE!</v>
      </c>
      <c r="AD50" s="170"/>
      <c r="AE50" s="163"/>
      <c r="AF50" s="163"/>
      <c r="AG50" s="163"/>
      <c r="AH50" s="163"/>
      <c r="AI50" s="163"/>
      <c r="AJ50" s="163"/>
    </row>
    <row r="51" spans="2:36" ht="20.45" hidden="1" customHeight="1" thickBot="1">
      <c r="B51" s="163"/>
      <c r="C51" s="293" t="s">
        <v>224</v>
      </c>
      <c r="D51" s="294"/>
      <c r="E51" s="138">
        <f>IFERROR(L57,"")</f>
        <v>-3.0318027538453205E-3</v>
      </c>
      <c r="F51" s="163"/>
      <c r="G51" s="163"/>
      <c r="H51" s="163"/>
      <c r="I51" s="163"/>
      <c r="J51" s="163"/>
      <c r="K51" s="163"/>
      <c r="L51" s="163"/>
      <c r="M51" s="163"/>
      <c r="N51" s="163"/>
      <c r="O51" s="163"/>
      <c r="P51" s="163"/>
      <c r="Q51" s="163"/>
      <c r="R51" s="163"/>
      <c r="S51" s="289" t="s">
        <v>114</v>
      </c>
      <c r="T51" s="289"/>
      <c r="U51" s="204">
        <v>1.7849999999999999</v>
      </c>
      <c r="V51" s="163"/>
      <c r="W51" s="198">
        <f>AA18*1.22</f>
        <v>0.35411953622431025</v>
      </c>
      <c r="X51" s="198">
        <f t="shared" ref="X51:X52" si="8">W51*$U$51</f>
        <v>0.63210337216039381</v>
      </c>
      <c r="Y51" s="198">
        <f t="shared" ref="Y51:Y52" si="9">W51*$U$50</f>
        <v>0.87821644983628944</v>
      </c>
      <c r="Z51" s="163"/>
      <c r="AA51" s="163"/>
      <c r="AB51" s="205"/>
      <c r="AC51" s="205"/>
      <c r="AD51" s="170"/>
      <c r="AE51" s="170"/>
      <c r="AF51" s="163"/>
      <c r="AG51" s="163"/>
      <c r="AH51" s="163"/>
      <c r="AI51" s="163"/>
      <c r="AJ51" s="163"/>
    </row>
    <row r="52" spans="2:36" ht="18.600000000000001" hidden="1" customHeight="1">
      <c r="B52" s="163"/>
      <c r="C52" s="231"/>
      <c r="D52" s="231"/>
      <c r="E52" s="206"/>
      <c r="F52" s="163"/>
      <c r="G52" s="163"/>
      <c r="H52" s="163"/>
      <c r="I52" s="163"/>
      <c r="J52" s="163"/>
      <c r="K52" s="163"/>
      <c r="L52" s="163"/>
      <c r="M52" s="163"/>
      <c r="N52" s="163"/>
      <c r="O52" s="163"/>
      <c r="P52" s="163"/>
      <c r="Q52" s="163"/>
      <c r="R52" s="163"/>
      <c r="S52" s="163"/>
      <c r="T52" s="163"/>
      <c r="U52" s="163">
        <v>1.82</v>
      </c>
      <c r="V52" s="163"/>
      <c r="W52" s="198">
        <f>AA19*1.22</f>
        <v>0.32319351264807356</v>
      </c>
      <c r="X52" s="198">
        <f t="shared" si="8"/>
        <v>0.5769004200768113</v>
      </c>
      <c r="Y52" s="198">
        <f t="shared" si="9"/>
        <v>0.80151991136722245</v>
      </c>
      <c r="Z52" s="163"/>
      <c r="AA52" s="163"/>
      <c r="AB52" s="170"/>
      <c r="AC52" s="170"/>
      <c r="AD52" s="170"/>
      <c r="AE52" s="170"/>
      <c r="AF52" s="163"/>
      <c r="AG52" s="163"/>
      <c r="AH52" s="163"/>
      <c r="AI52" s="163"/>
      <c r="AJ52" s="163"/>
    </row>
    <row r="53" spans="2:36" ht="21.75" hidden="1" thickBot="1">
      <c r="B53" s="287" t="s">
        <v>111</v>
      </c>
      <c r="C53" s="287"/>
      <c r="D53" s="287"/>
      <c r="E53" s="287"/>
      <c r="F53" s="287"/>
      <c r="G53" s="163"/>
      <c r="H53" s="287" t="s">
        <v>110</v>
      </c>
      <c r="I53" s="287"/>
      <c r="J53" s="287"/>
      <c r="K53" s="287"/>
      <c r="L53" s="287"/>
      <c r="M53" s="163"/>
      <c r="N53" s="163"/>
      <c r="O53" s="163"/>
      <c r="P53" s="163"/>
      <c r="Q53" s="163"/>
      <c r="R53" s="163"/>
      <c r="S53" s="207"/>
      <c r="T53" s="163"/>
      <c r="U53" s="163"/>
      <c r="V53" s="163"/>
      <c r="W53" s="163"/>
      <c r="X53" s="163"/>
      <c r="Y53" s="163"/>
      <c r="Z53" s="163"/>
      <c r="AA53" s="163"/>
      <c r="AB53" s="163"/>
      <c r="AC53" s="163"/>
      <c r="AD53" s="163"/>
      <c r="AE53" s="163"/>
      <c r="AF53" s="163"/>
      <c r="AG53" s="163"/>
      <c r="AH53" s="163"/>
      <c r="AI53" s="163"/>
      <c r="AJ53" s="163"/>
    </row>
    <row r="54" spans="2:36" ht="39.75" hidden="1" thickBot="1">
      <c r="B54" s="208"/>
      <c r="C54" s="208"/>
      <c r="D54" s="84" t="s">
        <v>191</v>
      </c>
      <c r="E54" s="85" t="s">
        <v>112</v>
      </c>
      <c r="F54" s="209"/>
      <c r="G54" s="163"/>
      <c r="H54" s="208"/>
      <c r="I54" s="208"/>
      <c r="J54" s="86" t="s">
        <v>191</v>
      </c>
      <c r="K54" s="87" t="s">
        <v>112</v>
      </c>
      <c r="L54" s="210"/>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row>
    <row r="55" spans="2:36" ht="19.5" hidden="1">
      <c r="B55" s="209" t="s">
        <v>162</v>
      </c>
      <c r="C55" s="208"/>
      <c r="D55" s="211">
        <v>1</v>
      </c>
      <c r="E55" s="212">
        <f>IF($E$6="Live",'Current Performance - NE '!K5/'FW - Projected Performance - NE'!K6,'Current Performance - NE '!K5/'FW - Projected Performance - NE'!K17)</f>
        <v>0.99093635435510607</v>
      </c>
      <c r="F55" s="212">
        <f>(D55-E55)/E55</f>
        <v>9.1465467030851615E-3</v>
      </c>
      <c r="G55" s="163"/>
      <c r="H55" s="209" t="s">
        <v>162</v>
      </c>
      <c r="I55" s="208"/>
      <c r="J55" s="211">
        <v>1</v>
      </c>
      <c r="K55" s="212">
        <f>'Current Performance - NE '!K5/'FT - Projected Performance - NE'!K5</f>
        <v>0.99093702954683516</v>
      </c>
      <c r="L55" s="212">
        <f>(J55-K55)/K55</f>
        <v>9.1458591039931415E-3</v>
      </c>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163"/>
    </row>
    <row r="56" spans="2:36" ht="19.5" hidden="1">
      <c r="B56" s="209" t="s">
        <v>163</v>
      </c>
      <c r="C56" s="208"/>
      <c r="D56" s="211">
        <v>1</v>
      </c>
      <c r="E56" s="212">
        <f>IF($E$6="Live",'FW - Projected Performance - NE'!K7/'Current Performance - NE '!K6,'FW - Projected Performance - NE'!K18/'Current Performance - NE '!K6)</f>
        <v>0.99783199857903926</v>
      </c>
      <c r="F56" s="213">
        <f t="shared" ref="F56:F57" si="10">(D56-E56)/E56</f>
        <v>2.1727118633678611E-3</v>
      </c>
      <c r="G56" s="163"/>
      <c r="H56" s="209" t="s">
        <v>163</v>
      </c>
      <c r="I56" s="208"/>
      <c r="J56" s="211">
        <v>1</v>
      </c>
      <c r="K56" s="212">
        <f>'FT - Projected Performance - NE'!K6/'Current Performance - NE '!K6</f>
        <v>0.99783253073306544</v>
      </c>
      <c r="L56" s="214">
        <f t="shared" ref="L56:L57" si="11">(J56-K56)/K56</f>
        <v>2.1721773946798617E-3</v>
      </c>
      <c r="M56" s="163"/>
      <c r="N56" s="163"/>
      <c r="O56" s="163"/>
      <c r="P56" s="163"/>
      <c r="Q56" s="163"/>
      <c r="R56" s="163"/>
      <c r="S56" s="163"/>
      <c r="T56" s="163"/>
      <c r="U56" s="163"/>
      <c r="V56" s="163"/>
      <c r="W56" s="163"/>
      <c r="X56" s="163"/>
      <c r="Y56" s="163"/>
      <c r="Z56" s="163"/>
      <c r="AA56" s="163"/>
      <c r="AB56" s="163"/>
      <c r="AC56" s="163"/>
      <c r="AD56" s="163"/>
      <c r="AE56" s="163"/>
      <c r="AF56" s="163"/>
      <c r="AG56" s="163"/>
      <c r="AH56" s="163"/>
      <c r="AI56" s="163"/>
      <c r="AJ56" s="163"/>
    </row>
    <row r="57" spans="2:36" ht="19.5" hidden="1">
      <c r="B57" s="88" t="s">
        <v>224</v>
      </c>
      <c r="C57" s="88"/>
      <c r="D57" s="136">
        <f>'FW - Projected Performance - NE'!B44</f>
        <v>75.741136772678288</v>
      </c>
      <c r="E57" s="136">
        <f>'Current Performance - NE '!B36</f>
        <v>75.971451658021294</v>
      </c>
      <c r="F57" s="215">
        <f t="shared" si="10"/>
        <v>-3.0315977951790077E-3</v>
      </c>
      <c r="G57" s="163"/>
      <c r="H57" s="88" t="s">
        <v>224</v>
      </c>
      <c r="I57" s="88"/>
      <c r="J57" s="136">
        <f>'FT - Projected Performance - NE'!B33</f>
        <v>75.741121201670879</v>
      </c>
      <c r="K57" s="136">
        <f>'Current Performance - NE '!B36</f>
        <v>75.971451658021294</v>
      </c>
      <c r="L57" s="209">
        <f t="shared" si="11"/>
        <v>-3.0318027538453205E-3</v>
      </c>
      <c r="M57" s="163"/>
      <c r="N57" s="163"/>
      <c r="O57" s="163"/>
      <c r="P57" s="163"/>
      <c r="Q57" s="163"/>
      <c r="R57" s="163"/>
      <c r="S57" s="163"/>
      <c r="T57" s="163"/>
      <c r="U57" s="163"/>
      <c r="V57" s="163"/>
      <c r="W57" s="163"/>
      <c r="X57" s="163"/>
      <c r="Y57" s="163"/>
      <c r="Z57" s="163"/>
      <c r="AA57" s="163"/>
      <c r="AB57" s="163"/>
      <c r="AC57" s="163"/>
      <c r="AD57" s="163"/>
      <c r="AE57" s="163"/>
      <c r="AF57" s="163"/>
      <c r="AG57" s="163">
        <v>0</v>
      </c>
      <c r="AH57" s="163"/>
      <c r="AI57" s="163"/>
      <c r="AJ57" s="163"/>
    </row>
    <row r="58" spans="2:36" ht="19.5" hidden="1">
      <c r="B58" s="216" t="s">
        <v>20</v>
      </c>
      <c r="C58" s="217"/>
      <c r="D58" s="218"/>
      <c r="E58" s="209"/>
      <c r="F58" s="209"/>
      <c r="G58" s="163"/>
      <c r="H58" s="216" t="s">
        <v>20</v>
      </c>
      <c r="I58" s="217"/>
      <c r="J58" s="218"/>
      <c r="K58" s="209"/>
      <c r="L58" s="209"/>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row>
    <row r="59" spans="2:36" ht="19.5" hidden="1">
      <c r="B59" s="219" t="s">
        <v>21</v>
      </c>
      <c r="C59" s="217"/>
      <c r="D59" s="220">
        <f>IF($E$6="Live",'FW - Projected Performance - NE'!K11,'FW - Projected Performance - NE'!K22)</f>
        <v>72.425288902620395</v>
      </c>
      <c r="E59" s="136">
        <f>'Current Performance - NE '!K10</f>
        <v>72.040178140418647</v>
      </c>
      <c r="F59" s="209"/>
      <c r="G59" s="163"/>
      <c r="H59" s="219" t="s">
        <v>21</v>
      </c>
      <c r="I59" s="217"/>
      <c r="J59" s="220">
        <f>'FT - Projected Performance - NE'!K10</f>
        <v>73.033995994336195</v>
      </c>
      <c r="K59" s="136">
        <f>'Current Performance - NE '!K10</f>
        <v>72.040178140418647</v>
      </c>
      <c r="L59" s="209"/>
      <c r="M59" s="163"/>
      <c r="N59" s="163"/>
      <c r="O59" s="163"/>
      <c r="P59" s="163"/>
      <c r="Q59" s="163"/>
      <c r="R59" s="163"/>
      <c r="S59" s="163"/>
      <c r="T59" s="163"/>
      <c r="U59" s="163"/>
      <c r="V59" s="163"/>
      <c r="W59" s="163"/>
      <c r="X59" s="163"/>
      <c r="Y59" s="163"/>
      <c r="Z59" s="163"/>
      <c r="AA59" s="163"/>
      <c r="AB59" s="163"/>
      <c r="AC59" s="163"/>
      <c r="AD59" s="163"/>
      <c r="AE59" s="163"/>
      <c r="AF59" s="163"/>
      <c r="AG59" s="163"/>
      <c r="AH59" s="163"/>
      <c r="AI59" s="163"/>
      <c r="AJ59" s="163"/>
    </row>
    <row r="60" spans="2:36" ht="19.5" hidden="1">
      <c r="B60" s="209" t="s">
        <v>22</v>
      </c>
      <c r="C60" s="209"/>
      <c r="D60" s="136">
        <f>IF($E$6="Live",'FW - Projected Performance - NE'!K12,'FW - Projected Performance - NE'!K23)</f>
        <v>85.528035402531145</v>
      </c>
      <c r="E60" s="136">
        <f>'Current Performance - NE '!K11</f>
        <v>85.262889477691658</v>
      </c>
      <c r="F60" s="209"/>
      <c r="G60" s="163"/>
      <c r="H60" s="221" t="s">
        <v>22</v>
      </c>
      <c r="I60" s="221"/>
      <c r="J60" s="222">
        <f>'FT - Projected Performance - NE'!K11</f>
        <v>86.256707331609221</v>
      </c>
      <c r="K60" s="222">
        <f>'Current Performance - NE '!K11</f>
        <v>85.262889477691658</v>
      </c>
      <c r="L60" s="221"/>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row>
    <row r="61" spans="2:36" ht="21" hidden="1">
      <c r="B61" s="209" t="s">
        <v>23</v>
      </c>
      <c r="C61" s="209"/>
      <c r="D61" s="136">
        <f>IF($E$6="Live",'FW - Projected Performance - NE'!K13,'FW - Projected Performance - NE'!K24)</f>
        <v>216.51863722536069</v>
      </c>
      <c r="E61" s="136">
        <f>IF($E$6="Live",'Current Performance - NE '!K12,'Current Performance - NE '!K15)</f>
        <v>216.51863722536069</v>
      </c>
      <c r="F61" s="90" t="s">
        <v>24</v>
      </c>
      <c r="G61" s="163"/>
      <c r="H61" s="221" t="s">
        <v>23</v>
      </c>
      <c r="I61" s="221"/>
      <c r="J61" s="222">
        <f>IF($E$6="Live",'FT - Projected Performance - NE'!K12,'FT - Projected Performance - NE'!K16)</f>
        <v>218.1531085313635</v>
      </c>
      <c r="K61" s="222">
        <f>IF($E$6="Live",'Current Performance - NE '!K12,'Current Performance - NE '!K15)</f>
        <v>216.51863722536069</v>
      </c>
      <c r="L61" s="90" t="s">
        <v>24</v>
      </c>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row>
    <row r="62" spans="2:36" ht="21" hidden="1">
      <c r="B62" s="221" t="s">
        <v>25</v>
      </c>
      <c r="C62" s="221"/>
      <c r="D62" s="222">
        <f>IF($E$6="Live",'FW - Projected Performance - NE'!K14,'FW - Projected Performance - NE'!K25)</f>
        <v>144.0933483227403</v>
      </c>
      <c r="E62" s="222">
        <f>IF($E$6="Live",'Current Performance - NE '!K13,'Current Performance - NE '!K16)</f>
        <v>144.47845908494205</v>
      </c>
      <c r="F62" s="91">
        <f>IFERROR(D62-E62,"")</f>
        <v>-0.385110762201748</v>
      </c>
      <c r="G62" s="163"/>
      <c r="H62" s="221" t="s">
        <v>25</v>
      </c>
      <c r="I62" s="221"/>
      <c r="J62" s="222">
        <f>IF($E$6="Live",'FT - Projected Performance - NE'!K13,'FT - Projected Performance - NE'!K17)</f>
        <v>145.11911253702732</v>
      </c>
      <c r="K62" s="222">
        <f>IF($E$6="Live",'Current Performance - NE '!K13,'Current Performance - NE '!K16)</f>
        <v>144.47845908494205</v>
      </c>
      <c r="L62" s="91">
        <f>IFERROR(J62-K62,"")</f>
        <v>0.64065345208527447</v>
      </c>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63"/>
    </row>
    <row r="63" spans="2:36" ht="21.75" hidden="1" thickBot="1">
      <c r="B63" s="223" t="s">
        <v>26</v>
      </c>
      <c r="C63" s="223"/>
      <c r="D63" s="224">
        <f>IF($E$6="Live",'FW - Projected Performance - NE'!K15,'FW - Projected Performance - NE'!K26)</f>
        <v>130.99060182282955</v>
      </c>
      <c r="E63" s="224">
        <f>IF($E$6="Live",'Current Performance - NE '!K14,'Current Performance - NE '!K17)</f>
        <v>131.25574774766903</v>
      </c>
      <c r="F63" s="92">
        <f>IFERROR(D63-E63,"")</f>
        <v>-0.26514592483948718</v>
      </c>
      <c r="G63" s="163"/>
      <c r="H63" s="223" t="s">
        <v>26</v>
      </c>
      <c r="I63" s="223"/>
      <c r="J63" s="224">
        <f>IF($E$6="Live",'FT - Projected Performance - NE'!K14,'FT - Projected Performance - NE'!K18)</f>
        <v>131.89640119975428</v>
      </c>
      <c r="K63" s="224">
        <f>IF($E$6="Live",'Current Performance - NE '!K14,'Current Performance - NE '!K17)</f>
        <v>131.25574774766903</v>
      </c>
      <c r="L63" s="92">
        <f>IFERROR(J63-K63,"")</f>
        <v>0.64065345208524604</v>
      </c>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row>
    <row r="64" spans="2:36" hidden="1">
      <c r="B64" s="170"/>
      <c r="C64" s="170"/>
      <c r="D64" s="170"/>
      <c r="E64" s="170"/>
      <c r="F64" s="170"/>
      <c r="G64" s="170"/>
      <c r="H64" s="170"/>
      <c r="I64" s="170"/>
      <c r="J64" s="170"/>
      <c r="K64" s="170"/>
      <c r="L64" s="170"/>
      <c r="M64" s="163"/>
      <c r="N64" s="163"/>
      <c r="O64" s="163"/>
      <c r="P64" s="163"/>
      <c r="Q64" s="163"/>
      <c r="R64" s="163"/>
      <c r="S64" s="163"/>
      <c r="T64" s="163"/>
      <c r="U64" s="163"/>
      <c r="V64" s="163"/>
      <c r="W64" s="163"/>
      <c r="X64" s="163"/>
      <c r="Y64" s="163"/>
      <c r="Z64" s="163"/>
      <c r="AA64" s="163"/>
      <c r="AB64" s="163"/>
      <c r="AC64" s="163"/>
      <c r="AD64" s="163"/>
      <c r="AE64" s="163"/>
      <c r="AF64" s="163"/>
      <c r="AG64" s="163"/>
      <c r="AH64" s="163"/>
      <c r="AI64" s="163"/>
      <c r="AJ64" s="163"/>
    </row>
    <row r="65" spans="2:36" hidden="1">
      <c r="B65" s="170"/>
      <c r="C65" s="197"/>
      <c r="D65" s="197"/>
      <c r="E65" s="197"/>
      <c r="F65" s="197"/>
      <c r="G65" s="197"/>
      <c r="H65" s="170"/>
      <c r="I65" s="197"/>
      <c r="J65" s="197"/>
      <c r="K65" s="197"/>
      <c r="L65" s="197"/>
      <c r="M65" s="197"/>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row>
    <row r="66" spans="2:36" hidden="1">
      <c r="B66" s="225" t="str">
        <f>IF(C66=0,"not impact",IF(E45&lt;0,"reduce","increase"))</f>
        <v>increase</v>
      </c>
      <c r="C66" s="226">
        <f>ROUND(IF(E45&lt;0,(-E45*100),(E45*100)),2)</f>
        <v>0.91</v>
      </c>
      <c r="D66" s="162" t="s">
        <v>239</v>
      </c>
      <c r="E66" s="197"/>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63"/>
      <c r="AI66" s="163"/>
      <c r="AJ66" s="163"/>
    </row>
    <row r="67" spans="2:36" hidden="1">
      <c r="B67" s="225" t="str">
        <f>IF(C67=0,"not impact",IF(E46&lt;0,"worsen","improve"))</f>
        <v>improve</v>
      </c>
      <c r="C67" s="226">
        <f>ROUND(IF(E46&lt;0,(-E46*100),(E46*100)),2)</f>
        <v>0.22</v>
      </c>
      <c r="D67" s="162" t="s">
        <v>239</v>
      </c>
      <c r="E67" s="197"/>
      <c r="F67" s="197"/>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63"/>
      <c r="AI67" s="163"/>
      <c r="AJ67" s="163"/>
    </row>
    <row r="68" spans="2:36" hidden="1">
      <c r="B68" s="225" t="str">
        <f>IF(C68=0,"not impact",IF(E47&lt;0,"worsen","improve"))</f>
        <v>worsen</v>
      </c>
      <c r="C68" s="226">
        <f>ROUND(IF(E47&lt;0,(-E47*100),(E47*100)),2)</f>
        <v>0.3</v>
      </c>
      <c r="D68" s="162" t="s">
        <v>239</v>
      </c>
      <c r="E68" s="197"/>
      <c r="F68" s="197"/>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7"/>
      <c r="AG68" s="197"/>
      <c r="AH68" s="163"/>
      <c r="AI68" s="163"/>
      <c r="AJ68" s="163"/>
    </row>
    <row r="69" spans="2:36" hidden="1">
      <c r="B69" s="197"/>
      <c r="C69" s="197"/>
      <c r="D69" s="197"/>
      <c r="E69" s="197"/>
      <c r="F69" s="197"/>
      <c r="G69" s="197"/>
      <c r="H69" s="197"/>
      <c r="I69" s="197"/>
      <c r="J69" s="197"/>
      <c r="K69" s="197"/>
      <c r="L69" s="197"/>
      <c r="M69" s="197"/>
      <c r="N69" s="197"/>
      <c r="O69" s="197"/>
      <c r="P69" s="197"/>
      <c r="Q69" s="197"/>
      <c r="R69" s="197"/>
      <c r="S69" s="197"/>
      <c r="T69" s="197"/>
      <c r="U69" s="197"/>
      <c r="V69" s="197"/>
      <c r="W69" s="197"/>
      <c r="X69" s="197"/>
      <c r="Y69" s="197"/>
      <c r="Z69" s="197"/>
      <c r="AA69" s="197"/>
      <c r="AB69" s="197"/>
      <c r="AC69" s="197"/>
      <c r="AD69" s="197"/>
      <c r="AE69" s="197"/>
      <c r="AF69" s="197"/>
      <c r="AG69" s="197"/>
      <c r="AH69" s="163"/>
      <c r="AI69" s="163"/>
      <c r="AJ69" s="163"/>
    </row>
    <row r="70" spans="2:36" hidden="1">
      <c r="B70" s="225" t="str">
        <f>IF(C70=0,"not impact",IF(E49&lt;0,"reduce","increase"))</f>
        <v>increase</v>
      </c>
      <c r="C70" s="226">
        <f>ROUND(IF(E49&lt;0,(-E49*100),(E49*100)),2)</f>
        <v>0.91</v>
      </c>
      <c r="D70" s="162" t="s">
        <v>239</v>
      </c>
      <c r="E70" s="197"/>
      <c r="F70" s="197"/>
      <c r="G70" s="197"/>
      <c r="H70" s="197"/>
      <c r="I70" s="197"/>
      <c r="J70" s="197"/>
      <c r="K70" s="197"/>
      <c r="L70" s="197"/>
      <c r="M70" s="197"/>
      <c r="N70" s="197"/>
      <c r="O70" s="197"/>
      <c r="P70" s="197"/>
      <c r="Q70" s="197"/>
      <c r="R70" s="197"/>
      <c r="S70" s="197"/>
      <c r="T70" s="197"/>
      <c r="U70" s="197"/>
      <c r="V70" s="197"/>
      <c r="W70" s="197"/>
      <c r="X70" s="197"/>
      <c r="Y70" s="197"/>
      <c r="Z70" s="197"/>
      <c r="AA70" s="197"/>
      <c r="AB70" s="197"/>
      <c r="AC70" s="197"/>
      <c r="AD70" s="197"/>
      <c r="AE70" s="197"/>
      <c r="AF70" s="197"/>
      <c r="AG70" s="197"/>
      <c r="AH70" s="163"/>
      <c r="AI70" s="163"/>
      <c r="AJ70" s="163"/>
    </row>
    <row r="71" spans="2:36" hidden="1">
      <c r="B71" s="225" t="str">
        <f>IF(C71=0,"not impact",IF(E50&lt;0,"worsen","improve"))</f>
        <v>improve</v>
      </c>
      <c r="C71" s="226">
        <f>ROUND(IF(E50&lt;0,(-E50*100),(E50*100)),2)</f>
        <v>0.22</v>
      </c>
      <c r="D71" s="162" t="s">
        <v>239</v>
      </c>
      <c r="E71" s="197"/>
      <c r="F71" s="197"/>
      <c r="G71" s="197"/>
      <c r="H71" s="197"/>
      <c r="I71" s="197"/>
      <c r="J71" s="197"/>
      <c r="K71" s="197"/>
      <c r="L71" s="197"/>
      <c r="M71" s="197"/>
      <c r="N71" s="197"/>
      <c r="O71" s="197"/>
      <c r="P71" s="197"/>
      <c r="Q71" s="197"/>
      <c r="R71" s="197"/>
      <c r="S71" s="197"/>
      <c r="T71" s="197"/>
      <c r="U71" s="197"/>
      <c r="V71" s="197"/>
      <c r="W71" s="197"/>
      <c r="X71" s="197"/>
      <c r="Y71" s="197"/>
      <c r="Z71" s="197"/>
      <c r="AA71" s="197"/>
      <c r="AB71" s="197"/>
      <c r="AC71" s="197"/>
      <c r="AD71" s="197"/>
      <c r="AE71" s="197"/>
      <c r="AF71" s="197"/>
      <c r="AG71" s="197"/>
      <c r="AH71" s="163"/>
      <c r="AI71" s="163"/>
      <c r="AJ71" s="163"/>
    </row>
    <row r="72" spans="2:36" hidden="1">
      <c r="B72" s="225" t="str">
        <f>IF(C72=0,"not impact",IF(E51&lt;0,"worsen","improve"))</f>
        <v>worsen</v>
      </c>
      <c r="C72" s="226">
        <f>ROUND(IF(E51&lt;0,(-E51*100),(E51*100)),2)</f>
        <v>0.3</v>
      </c>
      <c r="D72" s="162" t="s">
        <v>239</v>
      </c>
      <c r="E72" s="197"/>
      <c r="F72" s="197"/>
      <c r="G72" s="197"/>
      <c r="H72" s="197"/>
      <c r="I72" s="197"/>
      <c r="J72" s="197"/>
      <c r="K72" s="197"/>
      <c r="L72" s="197"/>
      <c r="M72" s="197"/>
      <c r="N72" s="197"/>
      <c r="O72" s="197"/>
      <c r="P72" s="197"/>
      <c r="Q72" s="197"/>
      <c r="R72" s="197"/>
      <c r="S72" s="197"/>
      <c r="T72" s="197"/>
      <c r="U72" s="197"/>
      <c r="V72" s="197"/>
      <c r="W72" s="197"/>
      <c r="X72" s="197"/>
      <c r="Y72" s="197"/>
      <c r="Z72" s="197"/>
      <c r="AA72" s="197"/>
      <c r="AB72" s="197"/>
      <c r="AC72" s="197"/>
      <c r="AD72" s="197"/>
      <c r="AE72" s="197"/>
      <c r="AF72" s="197"/>
      <c r="AG72" s="197"/>
      <c r="AH72" s="163"/>
      <c r="AI72" s="163"/>
      <c r="AJ72" s="163"/>
    </row>
    <row r="73" spans="2:36" hidden="1">
      <c r="B73" s="225" t="str">
        <f>IF(I45&lt;0,"; however, resulting in losses of $",", resulting in gains of $")</f>
        <v>; however, resulting in losses of $</v>
      </c>
      <c r="C73" s="226">
        <f>ROUND(IF(I45&lt;0,(-I45),(I45)),2)</f>
        <v>0.27</v>
      </c>
      <c r="D73" s="162" t="s">
        <v>240</v>
      </c>
      <c r="E73" s="227">
        <f>ROUND(I45,2)</f>
        <v>-0.27</v>
      </c>
      <c r="F73" s="197"/>
      <c r="G73" s="197"/>
      <c r="H73" s="197"/>
      <c r="I73" s="197"/>
      <c r="J73" s="197"/>
      <c r="K73" s="197"/>
      <c r="L73" s="197"/>
      <c r="M73" s="197"/>
      <c r="N73" s="197"/>
      <c r="O73" s="197"/>
      <c r="P73" s="197"/>
      <c r="Q73" s="197"/>
      <c r="R73" s="197"/>
      <c r="S73" s="197"/>
      <c r="T73" s="197"/>
      <c r="U73" s="197"/>
      <c r="V73" s="197"/>
      <c r="W73" s="197"/>
      <c r="X73" s="197"/>
      <c r="Y73" s="197"/>
      <c r="Z73" s="197"/>
      <c r="AA73" s="197"/>
      <c r="AB73" s="197"/>
      <c r="AC73" s="197"/>
      <c r="AD73" s="197"/>
      <c r="AE73" s="197"/>
      <c r="AF73" s="197"/>
      <c r="AG73" s="197"/>
      <c r="AH73" s="163"/>
      <c r="AI73" s="163"/>
      <c r="AJ73" s="163"/>
    </row>
    <row r="74" spans="2:36" hidden="1">
      <c r="B74" s="225" t="str">
        <f>IF(I47&lt;0,"; however, resulting in losses of $",", resulting in gains of $")</f>
        <v>, resulting in gains of $</v>
      </c>
      <c r="C74" s="226">
        <f>ROUND(IF(I47&lt;0,(-I47),(I47)),2)</f>
        <v>0.64</v>
      </c>
      <c r="D74" s="162" t="s">
        <v>240</v>
      </c>
      <c r="E74" s="227">
        <f>ROUND(I47,2)</f>
        <v>0.64</v>
      </c>
      <c r="F74" s="197"/>
      <c r="G74" s="197"/>
      <c r="H74" s="197"/>
      <c r="I74" s="197"/>
      <c r="J74" s="197"/>
      <c r="K74" s="197"/>
      <c r="L74" s="197"/>
      <c r="M74" s="197"/>
      <c r="N74" s="197"/>
      <c r="O74" s="197"/>
      <c r="P74" s="197"/>
      <c r="Q74" s="197"/>
      <c r="R74" s="197"/>
      <c r="S74" s="197"/>
      <c r="T74" s="197"/>
      <c r="U74" s="197"/>
      <c r="V74" s="197"/>
      <c r="W74" s="197"/>
      <c r="X74" s="197"/>
      <c r="Y74" s="197"/>
      <c r="Z74" s="197"/>
      <c r="AA74" s="197"/>
      <c r="AB74" s="197"/>
      <c r="AC74" s="197"/>
      <c r="AD74" s="197"/>
      <c r="AE74" s="197"/>
      <c r="AF74" s="197"/>
      <c r="AG74" s="197"/>
      <c r="AH74" s="163"/>
      <c r="AI74" s="163"/>
      <c r="AJ74" s="163"/>
    </row>
    <row r="75" spans="2:36" hidden="1">
      <c r="B75" s="225" t="str">
        <f>IF(E73&lt;0,"In this scenario, it isn't economical to feed PIC STTD phosphorus biological levels.",IF(E73&gt;0,"In this scenario, it is economical to feed PIC STTD phosphorus biological levels.","In this scenario, feed the current STTD phosphorus levels or the biological STTD phosphorus levels do not differ in economics."))</f>
        <v>In this scenario, it isn't economical to feed PIC STTD phosphorus biological levels.</v>
      </c>
      <c r="C75" s="162"/>
      <c r="D75" s="162"/>
      <c r="E75" s="162"/>
      <c r="F75" s="197"/>
      <c r="G75" s="197"/>
      <c r="H75" s="197"/>
      <c r="I75" s="197"/>
      <c r="J75" s="197"/>
      <c r="K75" s="197"/>
      <c r="L75" s="197"/>
      <c r="M75" s="197"/>
      <c r="N75" s="197"/>
      <c r="O75" s="197"/>
      <c r="P75" s="197"/>
      <c r="Q75" s="197"/>
      <c r="R75" s="197"/>
      <c r="S75" s="197"/>
      <c r="T75" s="197"/>
      <c r="U75" s="197"/>
      <c r="V75" s="197"/>
      <c r="W75" s="197"/>
      <c r="X75" s="197"/>
      <c r="Y75" s="197"/>
      <c r="Z75" s="197"/>
      <c r="AA75" s="197"/>
      <c r="AB75" s="197"/>
      <c r="AC75" s="197"/>
      <c r="AD75" s="197"/>
      <c r="AE75" s="197"/>
      <c r="AF75" s="197"/>
      <c r="AG75" s="197"/>
      <c r="AH75" s="163"/>
      <c r="AI75" s="163"/>
      <c r="AJ75" s="163"/>
    </row>
    <row r="76" spans="2:36" hidden="1">
      <c r="B76" s="225" t="str">
        <f>IF(E74&lt;0,"In this scenario, it isn't economical to feed PIC STTD phosphorus biological levels.",IF(E74&gt;0,"In this scenario, it is economical to feed PIC STTD phosphorus biological levels.","In this scenario, feed the current STTD phosphorus levels or the biological STTD phosphorus do not differ in economics."))</f>
        <v>In this scenario, it is economical to feed PIC STTD phosphorus biological levels.</v>
      </c>
      <c r="C76" s="162"/>
      <c r="D76" s="162"/>
      <c r="E76" s="162"/>
      <c r="F76" s="197"/>
      <c r="G76" s="197"/>
      <c r="H76" s="197"/>
      <c r="I76" s="197"/>
      <c r="J76" s="197"/>
      <c r="K76" s="197"/>
      <c r="L76" s="197"/>
      <c r="M76" s="197"/>
      <c r="N76" s="197"/>
      <c r="O76" s="197"/>
      <c r="P76" s="197"/>
      <c r="Q76" s="197"/>
      <c r="R76" s="197"/>
      <c r="S76" s="197"/>
      <c r="T76" s="197"/>
      <c r="U76" s="197"/>
      <c r="V76" s="197"/>
      <c r="W76" s="197"/>
      <c r="X76" s="197"/>
      <c r="Y76" s="197"/>
      <c r="Z76" s="197"/>
      <c r="AA76" s="197"/>
      <c r="AB76" s="197"/>
      <c r="AC76" s="197"/>
      <c r="AD76" s="197"/>
      <c r="AE76" s="197"/>
      <c r="AF76" s="197"/>
      <c r="AG76" s="197"/>
      <c r="AH76" s="163"/>
      <c r="AI76" s="163"/>
      <c r="AJ76" s="163"/>
    </row>
    <row r="77" spans="2:36" ht="16.5" hidden="1" thickBot="1">
      <c r="B77" s="197"/>
      <c r="C77" s="197"/>
      <c r="D77" s="197"/>
      <c r="E77" s="197"/>
      <c r="F77" s="197"/>
      <c r="G77" s="197"/>
      <c r="H77" s="197"/>
      <c r="I77" s="197"/>
      <c r="J77" s="197"/>
      <c r="K77" s="197"/>
      <c r="L77" s="197"/>
      <c r="M77" s="197"/>
      <c r="N77" s="197"/>
      <c r="O77" s="197"/>
      <c r="P77" s="197"/>
      <c r="Q77" s="197"/>
      <c r="R77" s="197"/>
      <c r="S77" s="197"/>
      <c r="T77" s="197"/>
      <c r="U77" s="197"/>
      <c r="V77" s="197"/>
      <c r="W77" s="197"/>
      <c r="X77" s="197"/>
      <c r="Y77" s="197"/>
      <c r="Z77" s="197"/>
      <c r="AA77" s="197"/>
      <c r="AB77" s="197"/>
      <c r="AC77" s="197"/>
      <c r="AD77" s="197"/>
      <c r="AE77" s="197"/>
      <c r="AF77" s="197"/>
      <c r="AG77" s="197"/>
      <c r="AH77" s="163"/>
      <c r="AI77" s="163"/>
      <c r="AJ77" s="163"/>
    </row>
    <row r="78" spans="2:36" hidden="1">
      <c r="B78" s="144">
        <f t="shared" ref="B78:C83" si="12">C15</f>
        <v>50</v>
      </c>
      <c r="C78" s="145">
        <f t="shared" si="12"/>
        <v>90</v>
      </c>
      <c r="D78" s="146">
        <f>IF(C78=0,0,1)</f>
        <v>1</v>
      </c>
      <c r="E78" s="197"/>
      <c r="F78" s="197"/>
      <c r="G78" s="197"/>
      <c r="H78" s="197"/>
      <c r="I78" s="197"/>
      <c r="J78" s="197"/>
      <c r="K78" s="197"/>
      <c r="L78" s="197"/>
      <c r="M78" s="197"/>
      <c r="N78" s="197"/>
      <c r="O78" s="197"/>
      <c r="P78" s="197"/>
      <c r="Q78" s="197"/>
      <c r="R78" s="197"/>
      <c r="S78" s="197"/>
      <c r="T78" s="197"/>
      <c r="U78" s="197"/>
      <c r="V78" s="197"/>
      <c r="W78" s="197"/>
      <c r="X78" s="197"/>
      <c r="Y78" s="197"/>
      <c r="Z78" s="197"/>
      <c r="AA78" s="197"/>
      <c r="AB78" s="197"/>
      <c r="AC78" s="197"/>
      <c r="AD78" s="197"/>
      <c r="AE78" s="197"/>
      <c r="AF78" s="197"/>
      <c r="AG78" s="197"/>
      <c r="AH78" s="163"/>
      <c r="AI78" s="163"/>
      <c r="AJ78" s="163"/>
    </row>
    <row r="79" spans="2:36" s="163" customFormat="1" hidden="1">
      <c r="B79" s="147">
        <f t="shared" si="12"/>
        <v>90</v>
      </c>
      <c r="C79" s="148">
        <f t="shared" si="12"/>
        <v>130</v>
      </c>
      <c r="D79" s="149">
        <f t="shared" ref="D79:D83" si="13">IF(C79=0,0,1)</f>
        <v>1</v>
      </c>
      <c r="E79" s="197"/>
      <c r="F79" s="197"/>
      <c r="G79" s="197"/>
      <c r="H79" s="197"/>
      <c r="I79" s="197"/>
      <c r="J79" s="197"/>
      <c r="K79" s="197"/>
      <c r="L79" s="197"/>
      <c r="M79" s="197"/>
      <c r="N79" s="197"/>
      <c r="O79" s="197"/>
      <c r="P79" s="197"/>
      <c r="Q79" s="197"/>
      <c r="R79" s="197"/>
      <c r="S79" s="197"/>
      <c r="T79" s="197"/>
      <c r="U79" s="197"/>
      <c r="V79" s="197"/>
      <c r="W79" s="197"/>
      <c r="X79" s="197"/>
      <c r="Y79" s="197"/>
      <c r="Z79" s="197"/>
      <c r="AA79" s="197"/>
      <c r="AB79" s="197"/>
      <c r="AC79" s="197"/>
      <c r="AD79" s="197"/>
      <c r="AE79" s="197"/>
      <c r="AF79" s="197"/>
      <c r="AG79" s="197"/>
    </row>
    <row r="80" spans="2:36" s="163" customFormat="1" hidden="1">
      <c r="B80" s="147">
        <f t="shared" si="12"/>
        <v>130</v>
      </c>
      <c r="C80" s="148">
        <f t="shared" si="12"/>
        <v>180</v>
      </c>
      <c r="D80" s="149">
        <f t="shared" si="13"/>
        <v>1</v>
      </c>
      <c r="H80" s="197"/>
      <c r="N80" s="197"/>
      <c r="O80" s="197"/>
      <c r="P80" s="197"/>
      <c r="Q80" s="197"/>
      <c r="R80" s="197"/>
      <c r="S80" s="197"/>
      <c r="T80" s="197"/>
      <c r="U80" s="197"/>
      <c r="V80" s="197"/>
      <c r="W80" s="197"/>
      <c r="X80" s="197"/>
      <c r="Y80" s="197"/>
      <c r="Z80" s="197"/>
      <c r="AA80" s="197"/>
      <c r="AB80" s="197"/>
      <c r="AC80" s="197"/>
      <c r="AD80" s="197"/>
      <c r="AE80" s="197"/>
      <c r="AF80" s="197"/>
      <c r="AG80" s="197"/>
    </row>
    <row r="81" spans="2:4" s="163" customFormat="1" hidden="1">
      <c r="B81" s="147">
        <f t="shared" si="12"/>
        <v>180</v>
      </c>
      <c r="C81" s="148">
        <f t="shared" si="12"/>
        <v>230</v>
      </c>
      <c r="D81" s="149">
        <f t="shared" si="13"/>
        <v>1</v>
      </c>
    </row>
    <row r="82" spans="2:4" s="163" customFormat="1" hidden="1">
      <c r="B82" s="147">
        <f t="shared" si="12"/>
        <v>230</v>
      </c>
      <c r="C82" s="148">
        <f t="shared" si="12"/>
        <v>285</v>
      </c>
      <c r="D82" s="149">
        <f t="shared" si="13"/>
        <v>1</v>
      </c>
    </row>
    <row r="83" spans="2:4" s="163" customFormat="1" hidden="1">
      <c r="B83" s="147" t="str">
        <f t="shared" si="12"/>
        <v/>
      </c>
      <c r="C83" s="148">
        <f t="shared" si="12"/>
        <v>0</v>
      </c>
      <c r="D83" s="149">
        <f t="shared" si="13"/>
        <v>0</v>
      </c>
    </row>
    <row r="84" spans="2:4" s="163" customFormat="1"/>
    <row r="85" spans="2:4" s="163" customFormat="1"/>
    <row r="86" spans="2:4" s="163" customFormat="1"/>
    <row r="87" spans="2:4" s="163" customFormat="1"/>
    <row r="88" spans="2:4" s="163" customFormat="1"/>
    <row r="89" spans="2:4" s="163" customFormat="1"/>
    <row r="90" spans="2:4" s="163" customFormat="1"/>
    <row r="91" spans="2:4" s="163" customFormat="1"/>
    <row r="92" spans="2:4" s="163" customFormat="1"/>
    <row r="93" spans="2:4" s="163" customFormat="1"/>
    <row r="94" spans="2:4" s="163" customFormat="1"/>
    <row r="95" spans="2:4" s="163" customFormat="1"/>
    <row r="96" spans="2:4" s="163" customFormat="1"/>
    <row r="97" s="163" customFormat="1"/>
    <row r="98" s="163" customFormat="1"/>
    <row r="99" s="163" customFormat="1"/>
    <row r="100" s="163" customFormat="1"/>
    <row r="101" s="163" customFormat="1"/>
    <row r="102" s="163" customFormat="1"/>
    <row r="103" s="163" customFormat="1"/>
    <row r="104" s="163" customFormat="1"/>
    <row r="105" s="163" customFormat="1"/>
    <row r="106" s="163" customFormat="1"/>
    <row r="107" s="163" customFormat="1"/>
    <row r="108" s="163" customFormat="1"/>
    <row r="109" s="163" customFormat="1"/>
    <row r="110" s="163" customFormat="1"/>
    <row r="111" s="163" customFormat="1"/>
    <row r="112" s="163" customFormat="1"/>
    <row r="113" s="163" customFormat="1"/>
    <row r="114" s="163" customFormat="1"/>
    <row r="115" s="163" customFormat="1"/>
    <row r="116" s="163" customFormat="1"/>
    <row r="117" s="163" customFormat="1"/>
    <row r="118" s="163" customFormat="1"/>
    <row r="119" s="163" customFormat="1"/>
    <row r="120" s="163" customFormat="1"/>
    <row r="121" s="163" customFormat="1"/>
    <row r="122" s="163" customFormat="1"/>
    <row r="123" s="163" customFormat="1"/>
    <row r="124" s="163" customFormat="1"/>
    <row r="125" s="163" customFormat="1"/>
    <row r="126" s="163" customFormat="1"/>
    <row r="127" s="163" customFormat="1"/>
    <row r="128" s="163" customFormat="1"/>
    <row r="129" s="163" customFormat="1"/>
    <row r="130" s="163" customFormat="1"/>
    <row r="131" s="163" customFormat="1"/>
    <row r="132" s="163" customFormat="1"/>
    <row r="133" s="163" customFormat="1"/>
    <row r="134" s="163" customFormat="1"/>
    <row r="135" s="163" customFormat="1"/>
    <row r="136" s="163" customFormat="1"/>
    <row r="137" s="163" customFormat="1"/>
    <row r="138" s="163" customFormat="1"/>
    <row r="139" s="163" customFormat="1"/>
    <row r="140" s="163" customFormat="1"/>
    <row r="141" s="163" customFormat="1"/>
    <row r="142" s="163" customFormat="1"/>
    <row r="143" s="163" customFormat="1"/>
    <row r="144" s="163" customFormat="1"/>
    <row r="145" s="163" customFormat="1"/>
    <row r="146" s="163" customFormat="1"/>
    <row r="147" s="163" customFormat="1"/>
    <row r="148" s="163" customFormat="1"/>
    <row r="149" s="163" customFormat="1"/>
    <row r="150" s="163" customFormat="1"/>
    <row r="151" s="163" customFormat="1"/>
    <row r="152" s="163" customFormat="1"/>
    <row r="153" s="163" customFormat="1"/>
    <row r="154" s="163" customFormat="1"/>
    <row r="155" s="163" customFormat="1"/>
    <row r="156" s="163" customFormat="1"/>
    <row r="157" s="163" customFormat="1"/>
    <row r="158" s="163" customFormat="1"/>
    <row r="159" s="163" customFormat="1"/>
    <row r="160" s="163" customFormat="1"/>
    <row r="161" s="163" customFormat="1"/>
    <row r="162" s="163" customFormat="1"/>
    <row r="163" s="163" customFormat="1"/>
    <row r="164" s="163" customFormat="1"/>
    <row r="165" s="163" customFormat="1"/>
    <row r="166" s="163" customFormat="1"/>
    <row r="167" s="163" customFormat="1"/>
    <row r="168" s="163" customFormat="1"/>
    <row r="169" s="163" customFormat="1"/>
    <row r="170" s="163" customFormat="1"/>
    <row r="171" s="163" customFormat="1"/>
    <row r="172" s="163" customFormat="1"/>
    <row r="173" s="163" customFormat="1"/>
    <row r="174" s="163" customFormat="1"/>
    <row r="175" s="163" customFormat="1"/>
    <row r="176" s="163" customFormat="1"/>
    <row r="177" s="163" customFormat="1"/>
    <row r="178" s="163" customFormat="1"/>
    <row r="179" s="163" customFormat="1"/>
    <row r="180" s="163" customFormat="1"/>
    <row r="181" s="163" customFormat="1"/>
    <row r="182" s="163" customFormat="1"/>
    <row r="183" s="163" customFormat="1"/>
    <row r="184" s="163" customFormat="1"/>
    <row r="185" s="163" customFormat="1"/>
    <row r="186" s="163" customFormat="1"/>
    <row r="187" s="163" customFormat="1"/>
    <row r="188" s="163" customFormat="1"/>
  </sheetData>
  <sheetProtection sheet="1" objects="1" scenarios="1" selectLockedCells="1"/>
  <dataConsolidate/>
  <mergeCells count="40">
    <mergeCell ref="B1:J2"/>
    <mergeCell ref="C51:D51"/>
    <mergeCell ref="C14:D14"/>
    <mergeCell ref="F13:G13"/>
    <mergeCell ref="B6:D6"/>
    <mergeCell ref="B11:D11"/>
    <mergeCell ref="I13:J13"/>
    <mergeCell ref="C42:E42"/>
    <mergeCell ref="C45:D45"/>
    <mergeCell ref="G44:I44"/>
    <mergeCell ref="C48:E48"/>
    <mergeCell ref="G43:I43"/>
    <mergeCell ref="G45:H45"/>
    <mergeCell ref="C44:E44"/>
    <mergeCell ref="G42:I42"/>
    <mergeCell ref="B33:B34"/>
    <mergeCell ref="B53:F53"/>
    <mergeCell ref="H53:L53"/>
    <mergeCell ref="AB46:AC46"/>
    <mergeCell ref="S50:T50"/>
    <mergeCell ref="S51:T51"/>
    <mergeCell ref="C46:D46"/>
    <mergeCell ref="AB6:AC6"/>
    <mergeCell ref="AB10:AC10"/>
    <mergeCell ref="AB14:AC14"/>
    <mergeCell ref="AB18:AC18"/>
    <mergeCell ref="AB22:AC22"/>
    <mergeCell ref="B7:D7"/>
    <mergeCell ref="B8:D8"/>
    <mergeCell ref="B10:D10"/>
    <mergeCell ref="B9:D9"/>
    <mergeCell ref="C43:E43"/>
    <mergeCell ref="B23:J23"/>
    <mergeCell ref="B24:J25"/>
    <mergeCell ref="B26:J26"/>
    <mergeCell ref="B28:J28"/>
    <mergeCell ref="B29:J30"/>
    <mergeCell ref="B31:J31"/>
    <mergeCell ref="C33:J34"/>
    <mergeCell ref="B35:J40"/>
  </mergeCells>
  <conditionalFormatting sqref="B26:J26">
    <cfRule type="containsText" dxfId="17" priority="4" operator="containsText" text="In this scenario, feed the current STTD phosphorus levels or the biological STTD phosphorus do not differ in economics.">
      <formula>NOT(ISERROR(SEARCH("In this scenario, feed the current STTD phosphorus levels or the biological STTD phosphorus do not differ in economics.",B26)))</formula>
    </cfRule>
    <cfRule type="containsText" dxfId="16" priority="5" operator="containsText" text="In this scenario, it is economical to feed PIC STTD phosphorus biological levels.">
      <formula>NOT(ISERROR(SEARCH("In this scenario, it is economical to feed PIC STTD phosphorus biological levels.",B26)))</formula>
    </cfRule>
    <cfRule type="containsText" dxfId="15" priority="6" operator="containsText" text="In this scenario, it isn't economical to feed PIC STTD phosphorus biological levels.">
      <formula>NOT(ISERROR(SEARCH("In this scenario, it isn't economical to feed PIC STTD phosphorus biological levels.",B26)))</formula>
    </cfRule>
  </conditionalFormatting>
  <conditionalFormatting sqref="B31:J31">
    <cfRule type="containsText" dxfId="14" priority="1" operator="containsText" text="In this scenario, feed the current STTD phosphorus levels or the biological STTD phosphorus do not differ in economics.">
      <formula>NOT(ISERROR(SEARCH("In this scenario, feed the current STTD phosphorus levels or the biological STTD phosphorus do not differ in economics.",B31)))</formula>
    </cfRule>
    <cfRule type="containsText" dxfId="13" priority="2" operator="containsText" text="In this scenario, it is economical to feed PIC STTD phosphorus biological levels.">
      <formula>NOT(ISERROR(SEARCH("In this scenario, it is economical to feed PIC STTD phosphorus biological levels.",B31)))</formula>
    </cfRule>
    <cfRule type="containsText" dxfId="12" priority="3" operator="containsText" text="In this scenario, it isn't economical to feed PIC STTD phosphorus biological levels.">
      <formula>NOT(ISERROR(SEARCH("In this scenario, it isn't economical to feed PIC STTD phosphorus biological levels.",B31)))</formula>
    </cfRule>
  </conditionalFormatting>
  <dataValidations count="5">
    <dataValidation type="decimal" errorStyle="warning" allowBlank="1" showInputMessage="1" showErrorMessage="1" error="Please double check your entry" sqref="G15:G20 J15:J20" xr:uid="{EE6AA423-99E5-2C48-B6D9-8B9FE259B688}">
      <formula1>30</formula1>
      <formula2>500</formula2>
    </dataValidation>
    <dataValidation errorStyle="warning" allowBlank="1" showInputMessage="1" showErrorMessage="1" error="Please double check your entry" sqref="E10 E7:E8" xr:uid="{D8F89E38-0D77-9B4D-8095-7DE8CBAAF6C6}"/>
    <dataValidation type="list" allowBlank="1" showInputMessage="1" showErrorMessage="1" promptTitle="If carcass criteria is selected:" prompt="The model can only be evaluated on a carcass basis if the final body weight is greater than 243 lb. " sqref="E6" xr:uid="{AA998BB8-5A0E-494E-90A7-3279A87A25EF}">
      <formula1>$T$9:$T$10</formula1>
    </dataValidation>
    <dataValidation type="decimal" operator="greaterThanOrEqual" allowBlank="1" showInputMessage="1" showErrorMessage="1" errorTitle="Outside range" error="The model is applicable for growing-finishing pigs, please enter a weight at or above 50 lbs." sqref="C15:C20" xr:uid="{9AD9F752-1044-4836-8F9D-F0DC5E7B2F08}">
      <formula1>50</formula1>
    </dataValidation>
    <dataValidation allowBlank="1" showErrorMessage="1" prompt="If the carcass yield entered is 76% or greater, we assume that they are based on carcasses with heads on and thus no impact of phosphorus on yield is considered. " sqref="E9" xr:uid="{26EB065B-5927-E547-889C-FE5D387C4EA4}"/>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F9A24-1497-6C45-8392-D0E1DF48EC6E}">
  <sheetPr codeName="Sheet5">
    <tabColor rgb="FFFFFF00"/>
  </sheetPr>
  <dimension ref="A1:P102"/>
  <sheetViews>
    <sheetView workbookViewId="0">
      <selection activeCell="B34" sqref="B34"/>
    </sheetView>
  </sheetViews>
  <sheetFormatPr defaultColWidth="10.625" defaultRowHeight="15.75"/>
  <cols>
    <col min="1" max="1" width="66.125" bestFit="1" customWidth="1"/>
    <col min="2" max="2" width="11.125" customWidth="1"/>
    <col min="3" max="3" width="11.625" bestFit="1" customWidth="1"/>
    <col min="4" max="4" width="11" bestFit="1" customWidth="1"/>
    <col min="5" max="6" width="11.625" bestFit="1" customWidth="1"/>
    <col min="7" max="7" width="11.625" customWidth="1"/>
    <col min="9" max="9" width="20.125" bestFit="1" customWidth="1"/>
    <col min="10" max="10" width="32.625" customWidth="1"/>
    <col min="11" max="12" width="15" customWidth="1"/>
  </cols>
  <sheetData>
    <row r="1" spans="1:16" ht="21">
      <c r="A1" s="312" t="s">
        <v>27</v>
      </c>
      <c r="B1" s="312"/>
      <c r="C1" s="312"/>
      <c r="D1" s="312"/>
      <c r="E1" s="312"/>
      <c r="F1" s="312"/>
      <c r="G1" s="312"/>
      <c r="H1" s="312"/>
      <c r="I1" s="312"/>
      <c r="J1" s="312"/>
      <c r="K1" s="312"/>
      <c r="L1" s="312"/>
      <c r="M1" s="312"/>
      <c r="N1" s="312"/>
      <c r="O1" s="312"/>
    </row>
    <row r="2" spans="1:16">
      <c r="A2" s="313" t="s">
        <v>28</v>
      </c>
      <c r="B2" s="315" t="s">
        <v>29</v>
      </c>
      <c r="C2" s="315"/>
      <c r="D2" s="315"/>
      <c r="E2" s="315"/>
      <c r="F2" s="315"/>
      <c r="G2" s="315"/>
      <c r="H2" s="2"/>
      <c r="I2" s="2"/>
      <c r="J2" s="314" t="s">
        <v>30</v>
      </c>
      <c r="K2" s="314"/>
      <c r="L2" s="57"/>
      <c r="M2" s="18"/>
      <c r="N2" s="18"/>
      <c r="O2" s="18"/>
    </row>
    <row r="3" spans="1:16">
      <c r="A3" s="313"/>
      <c r="B3" s="315"/>
      <c r="C3" s="315"/>
      <c r="D3" s="315"/>
      <c r="E3" s="315"/>
      <c r="F3" s="315"/>
      <c r="G3" s="315"/>
      <c r="H3" s="2"/>
      <c r="I3" s="2"/>
      <c r="J3" s="314"/>
      <c r="K3" s="314"/>
      <c r="L3" s="57"/>
      <c r="M3" s="18"/>
      <c r="N3" s="18"/>
      <c r="O3" s="18"/>
    </row>
    <row r="4" spans="1:16" ht="16.5" thickBot="1">
      <c r="A4" s="313"/>
      <c r="B4" s="8">
        <v>1</v>
      </c>
      <c r="C4" s="8">
        <v>2</v>
      </c>
      <c r="D4" s="8">
        <v>3</v>
      </c>
      <c r="E4" s="8">
        <v>4</v>
      </c>
      <c r="F4" s="8">
        <v>5</v>
      </c>
      <c r="G4" s="8">
        <v>6</v>
      </c>
      <c r="H4" s="2"/>
      <c r="I4" s="2"/>
      <c r="J4" s="19" t="s">
        <v>28</v>
      </c>
      <c r="K4" s="19" t="s">
        <v>31</v>
      </c>
      <c r="L4" s="19">
        <v>2</v>
      </c>
      <c r="M4" s="19">
        <v>3</v>
      </c>
      <c r="N4" s="19">
        <v>4</v>
      </c>
      <c r="O4" s="19">
        <v>5</v>
      </c>
      <c r="P4" s="64">
        <v>6</v>
      </c>
    </row>
    <row r="5" spans="1:16">
      <c r="A5" t="s">
        <v>76</v>
      </c>
      <c r="B5" s="3">
        <f>'Finisher Model - NE Imperial'!C15</f>
        <v>50</v>
      </c>
      <c r="C5" s="3">
        <f>'Finisher Model - NE Imperial'!C16</f>
        <v>90</v>
      </c>
      <c r="D5" s="3">
        <f>'Finisher Model - NE Imperial'!C17</f>
        <v>130</v>
      </c>
      <c r="E5" s="3">
        <f>'Finisher Model - NE Imperial'!C18</f>
        <v>180</v>
      </c>
      <c r="F5" s="3">
        <f>'Finisher Model - NE Imperial'!C19</f>
        <v>230</v>
      </c>
      <c r="G5" s="3" t="str">
        <f>'Finisher Model - NE Imperial'!C20</f>
        <v/>
      </c>
      <c r="J5" t="s">
        <v>42</v>
      </c>
      <c r="K5" s="10">
        <f>IF('Finisher Model - NE Imperial'!$E$11=2,'Current Performance - NE '!L5,IF('Finisher Model - NE Imperial'!$E$11=3,'Current Performance - NE '!M5,IF('Finisher Model - NE Imperial'!$E$11=4,'Current Performance - NE '!N5,IF('Finisher Model - NE Imperial'!$E$11=5,'Current Performance - NE '!O5,IF('Finisher Model - NE Imperial'!$E$11=6,'Current Performance - NE '!P5,"")))))</f>
        <v>2.1327135645190345</v>
      </c>
      <c r="L5">
        <f>((SUMPRODUCT($B$11:$C$11,$B$16:$C$16)/SUM($B$16:$C$16))*0.00220462)</f>
        <v>2.1281228068802358</v>
      </c>
      <c r="M5">
        <f>((SUMPRODUCT($B$11:$D$11,$B$16:$D$16)/SUM($B$16:$D$16))*0.00220462)</f>
        <v>2.1269391719219746</v>
      </c>
      <c r="N5">
        <f>((SUMPRODUCT($B$11:$E$11,$B$16:$E$16)/SUM($B$16:$E$16))*0.00220462)</f>
        <v>2.1283603006890583</v>
      </c>
      <c r="O5">
        <f>((SUMPRODUCT($B$11:$F$11,$B$16:$F$16)/SUM($B$16:$F$16))*0.00220462)</f>
        <v>2.1327135645190345</v>
      </c>
      <c r="P5" t="e">
        <f>((SUMPRODUCT($B$11:$G$11,$B$16:$G$16)/SUM($B$16:$G$16))*0.00220462)</f>
        <v>#VALUE!</v>
      </c>
    </row>
    <row r="6" spans="1:16">
      <c r="A6" t="s">
        <v>77</v>
      </c>
      <c r="B6" s="3">
        <f>'Finisher Model - NE Imperial'!D15</f>
        <v>90</v>
      </c>
      <c r="C6" s="3">
        <f>'Finisher Model - NE Imperial'!D16</f>
        <v>130</v>
      </c>
      <c r="D6" s="3">
        <f>'Finisher Model - NE Imperial'!D17</f>
        <v>180</v>
      </c>
      <c r="E6" s="3">
        <f>'Finisher Model - NE Imperial'!D18</f>
        <v>230</v>
      </c>
      <c r="F6" s="3">
        <f>'Finisher Model - NE Imperial'!D19</f>
        <v>285</v>
      </c>
      <c r="G6" s="3">
        <f>'Finisher Model - NE Imperial'!D20</f>
        <v>0</v>
      </c>
      <c r="J6" t="s">
        <v>43</v>
      </c>
      <c r="K6" s="10">
        <f>IF('Finisher Model - NE Imperial'!$E$11=2,'Current Performance - NE '!L6,IF('Finisher Model - NE Imperial'!$E$11=3,'Current Performance - NE '!M6,IF('Finisher Model - NE Imperial'!$E$11=4,'Current Performance - NE '!N6,IF('Finisher Model - NE Imperial'!$E$11=5,'Current Performance - NE '!O6,IF('Finisher Model - NE Imperial'!$E$11=6,'Current Performance - NE '!P6,"")))))</f>
        <v>2.4953353974876964</v>
      </c>
      <c r="L6">
        <f>SUM($B$18:$C$18)/SUM($B$20:$C$20)</f>
        <v>1.9410953058744298</v>
      </c>
      <c r="M6">
        <f>SUM($B$18:$D$18)/SUM($B$20:$D$20)</f>
        <v>2.1198824322012899</v>
      </c>
      <c r="N6">
        <f>SUM($B$18:$E$18)/SUM($B$20:$E$20)</f>
        <v>2.2986695585281507</v>
      </c>
      <c r="O6">
        <f>SUM($B$18:$F$18)/SUM($B$20:$F$20)</f>
        <v>2.4953353974876964</v>
      </c>
      <c r="P6" t="e">
        <f>SUM($B$18:$G$18)/SUM($B$20:$G$20)</f>
        <v>#VALUE!</v>
      </c>
    </row>
    <row r="7" spans="1:16">
      <c r="A7" t="s">
        <v>78</v>
      </c>
      <c r="B7" s="3">
        <f>B6-B5</f>
        <v>40</v>
      </c>
      <c r="C7" s="3">
        <f t="shared" ref="C7:E7" si="0">C6-C5</f>
        <v>40</v>
      </c>
      <c r="D7" s="3">
        <f t="shared" si="0"/>
        <v>50</v>
      </c>
      <c r="E7" s="3">
        <f t="shared" si="0"/>
        <v>50</v>
      </c>
      <c r="F7" s="3">
        <f>F6-F5</f>
        <v>55</v>
      </c>
      <c r="G7" s="3" t="e">
        <f>G6-G5</f>
        <v>#VALUE!</v>
      </c>
      <c r="J7" t="s">
        <v>44</v>
      </c>
      <c r="K7" s="10">
        <f>IF('Finisher Model - NE Imperial'!$E$11=2,'Current Performance - NE '!L7,IF('Finisher Model - NE Imperial'!$E$11=3,'Current Performance - NE '!M7,IF('Finisher Model - NE Imperial'!$E$11=4,'Current Performance - NE '!N7,IF('Finisher Model - NE Imperial'!$E$11=5,'Current Performance - NE '!O7,IF('Finisher Model - NE Imperial'!$E$11=6,'Current Performance - NE '!P7,"")))))</f>
        <v>5.3217873713081838</v>
      </c>
      <c r="L7">
        <f>SUM(B18:C18)/SUM(B16:C16)</f>
        <v>4.1308517159186087</v>
      </c>
      <c r="M7">
        <f>SUM(B18:D18)/SUM(B16:D16)</f>
        <v>4.5088200811707049</v>
      </c>
      <c r="N7">
        <f>SUM(B18:E18)/SUM(B16:E16)</f>
        <v>4.8923526496416754</v>
      </c>
      <c r="O7">
        <f>SUM(B18:F18)/SUM(B16:F16)</f>
        <v>5.3217873713081838</v>
      </c>
      <c r="P7" t="e">
        <f>SUM(B18:G18)/SUM(B16:G16)</f>
        <v>#VALUE!</v>
      </c>
    </row>
    <row r="8" spans="1:16">
      <c r="A8" t="s">
        <v>32</v>
      </c>
      <c r="B8" s="4">
        <f>'Finisher Model - NE Imperial'!H14</f>
        <v>2513.2667999999999</v>
      </c>
      <c r="C8" s="4">
        <f>'Finisher Model - NE Imperial'!H15</f>
        <v>2469.1743999999999</v>
      </c>
      <c r="D8" s="4">
        <f>'Finisher Model - NE Imperial'!H16</f>
        <v>2491.2205999999996</v>
      </c>
      <c r="E8" s="4">
        <f>'Finisher Model - NE Imperial'!H17</f>
        <v>2513.2667999999999</v>
      </c>
      <c r="F8" s="4">
        <f>'Finisher Model - NE Imperial'!H18</f>
        <v>2513.2667999999999</v>
      </c>
      <c r="G8" s="4">
        <f>'Finisher Model - NE Imperial'!H19</f>
        <v>0</v>
      </c>
      <c r="J8" t="s">
        <v>45</v>
      </c>
      <c r="K8" s="10">
        <f>IF('Finisher Model - NE Imperial'!$E$11=2,'Current Performance - NE '!L8,IF('Finisher Model - NE Imperial'!$E$11=3,'Current Performance - NE '!M8,IF('Finisher Model - NE Imperial'!$E$11=4,'Current Performance - NE '!N8,IF('Finisher Model - NE Imperial'!$E$11=5,'Current Performance - NE '!O8,IF('Finisher Model - NE Imperial'!$E$11=6,'Current Performance - NE '!P8,"")))))</f>
        <v>110.18926114394174</v>
      </c>
      <c r="L8" s="11">
        <f>SUM(B16:C16)</f>
        <v>37.592156569440519</v>
      </c>
      <c r="M8" s="11">
        <f>SUM(B16:D16)</f>
        <v>61.1212492902606</v>
      </c>
      <c r="N8" s="11">
        <f>SUM(B16:E16)</f>
        <v>84.572914130663023</v>
      </c>
      <c r="O8" s="11">
        <f>SUM(B16:F16)</f>
        <v>110.18926114394174</v>
      </c>
      <c r="P8" s="11" t="e">
        <f>SUM(B16:G16)</f>
        <v>#VALUE!</v>
      </c>
    </row>
    <row r="9" spans="1:16">
      <c r="A9" t="s">
        <v>33</v>
      </c>
      <c r="B9" s="5">
        <f>'Finisher Model - NE Imperial'!G15</f>
        <v>274.70999999999998</v>
      </c>
      <c r="C9" s="5">
        <f>'Finisher Model - NE Imperial'!G16</f>
        <v>260.44</v>
      </c>
      <c r="D9" s="5">
        <f>'Finisher Model - NE Imperial'!G17</f>
        <v>247.49</v>
      </c>
      <c r="E9" s="5">
        <f>'Finisher Model - NE Imperial'!G18</f>
        <v>237.61</v>
      </c>
      <c r="F9" s="5">
        <f>'Finisher Model - NE Imperial'!G19</f>
        <v>231.73</v>
      </c>
      <c r="G9" s="5">
        <f>'Finisher Model - NE Imperial'!G20</f>
        <v>0</v>
      </c>
      <c r="J9" t="s">
        <v>46</v>
      </c>
      <c r="K9" s="10">
        <f>IF('Finisher Model - NE Imperial'!$E$11=2,'Current Performance - NE '!L9,IF('Finisher Model - NE Imperial'!$E$11=3,'Current Performance - NE '!M9,IF('Finisher Model - NE Imperial'!$E$11=4,'Current Performance - NE '!N9,IF('Finisher Model - NE Imperial'!$E$11=5,'Current Performance - NE '!O9,IF('Finisher Model - NE Imperial'!$E$11=6,'Current Performance - NE '!P9,"")))))</f>
        <v>586.40381840960868</v>
      </c>
      <c r="L9" s="11">
        <f>SUM(B18:C18)</f>
        <v>155.28762446995438</v>
      </c>
      <c r="M9" s="11">
        <f>SUM(B18:D18)</f>
        <v>275.58471618616767</v>
      </c>
      <c r="N9" s="11">
        <f>SUM(B18:E18)</f>
        <v>413.76052053506714</v>
      </c>
      <c r="O9" s="11">
        <f>SUM(B18:F18)</f>
        <v>586.40381840960868</v>
      </c>
      <c r="P9" s="11">
        <f>SUM(B18:G18)</f>
        <v>-73.812438871229801</v>
      </c>
    </row>
    <row r="10" spans="1:16">
      <c r="A10" t="s">
        <v>79</v>
      </c>
      <c r="B10" s="3">
        <f>AVERAGE(B5:B6)</f>
        <v>70</v>
      </c>
      <c r="C10" s="3">
        <f t="shared" ref="C10:D10" si="1">AVERAGE(C5:C6)</f>
        <v>110</v>
      </c>
      <c r="D10" s="3">
        <f t="shared" si="1"/>
        <v>155</v>
      </c>
      <c r="E10" s="3">
        <f>AVERAGE(E5:E6)</f>
        <v>205</v>
      </c>
      <c r="F10" s="3">
        <f>AVERAGE(F5:F6)</f>
        <v>257.5</v>
      </c>
      <c r="G10" s="3">
        <f>AVERAGE(G5:G6)</f>
        <v>0</v>
      </c>
      <c r="J10" s="17" t="s">
        <v>47</v>
      </c>
      <c r="K10" s="10">
        <f>IF('Finisher Model - NE Imperial'!$E$11=2,'Current Performance - NE '!L10,IF('Finisher Model - NE Imperial'!$E$11=3,'Current Performance - NE '!M10,IF('Finisher Model - NE Imperial'!$E$11=4,'Current Performance - NE '!N10,IF('Finisher Model - NE Imperial'!$E$11=5,'Current Performance - NE '!O10,IF('Finisher Model - NE Imperial'!$E$11=6,'Current Performance - NE '!P10,"")))))</f>
        <v>72.040178140418647</v>
      </c>
      <c r="L10" s="14">
        <f>SUM(B19:C19)</f>
        <v>20.734722382091071</v>
      </c>
      <c r="M10" s="14">
        <f>SUM(B19:D19)</f>
        <v>35.620885996513884</v>
      </c>
      <c r="N10" s="14">
        <f>SUM(B19:E19)</f>
        <v>52.03686243218489</v>
      </c>
      <c r="O10" s="14">
        <f>SUM(B19:F19)</f>
        <v>72.040178140418647</v>
      </c>
      <c r="P10" s="14">
        <f>SUM(B19:G19)</f>
        <v>72.040178140418647</v>
      </c>
    </row>
    <row r="11" spans="1:16" ht="16.5" thickBot="1">
      <c r="A11" t="s">
        <v>63</v>
      </c>
      <c r="B11" s="9">
        <f>IFERROR(651.36+531.33*'Finisher Model - NE Imperial'!S17-216.9*('Finisher Model - NE Imperial'!S17*'Finisher Model - NE Imperial'!S17),"")</f>
        <v>964.90134493774508</v>
      </c>
      <c r="C11" s="9">
        <f>IFERROR(651.36+531.33*'Finisher Model - NE Imperial'!S18-216.9*('Finisher Model - NE Imperial'!S18*'Finisher Model - NE Imperial'!S18),"")</f>
        <v>965.70181817547825</v>
      </c>
      <c r="D11" s="9">
        <f>IFERROR(651.36+531.33*'Finisher Model - NE Imperial'!S19-216.9*('Finisher Model - NE Imperial'!S19*'Finisher Model - NE Imperial'!S19),"")</f>
        <v>963.90674682102713</v>
      </c>
      <c r="E11" s="9">
        <f>IFERROR(651.36+531.33*'Finisher Model - NE Imperial'!S20-216.9*('Finisher Model - NE Imperial'!S20*'Finisher Model - NE Imperial'!S20),"")</f>
        <v>967.08917573746191</v>
      </c>
      <c r="F11" s="9">
        <f>IFERROR(651.36+531.33*'Finisher Model - NE Imperial'!S21-216.9*('Finisher Model - NE Imperial'!S21*'Finisher Model - NE Imperial'!S21),"")</f>
        <v>973.90296630746843</v>
      </c>
      <c r="G11" s="9" t="str">
        <f>IFERROR(651.36+531.33*'Finisher Model - NE Imperial'!S22-216.9*('Finisher Model - NE Imperial'!S22*'Finisher Model - NE Imperial'!S22),"")</f>
        <v/>
      </c>
      <c r="J11" s="1" t="s">
        <v>48</v>
      </c>
      <c r="K11" s="16">
        <f>IF('Finisher Model - NE Imperial'!$E$11=2,'Current Performance - NE '!L11,IF('Finisher Model - NE Imperial'!$E$11=3,'Current Performance - NE '!M11,IF('Finisher Model - NE Imperial'!$E$11=4,'Current Performance - NE '!N11,IF('Finisher Model - NE Imperial'!$E$11=5,'Current Performance - NE '!O11,IF('Finisher Model - NE Imperial'!$E$11=6,'Current Performance - NE '!P11,"")))))</f>
        <v>85.262889477691658</v>
      </c>
      <c r="L11" s="16">
        <f>SUM(B22:C22)</f>
        <v>25.245781170423935</v>
      </c>
      <c r="M11" s="16">
        <f>SUM(B22:D22)</f>
        <v>42.955435911345162</v>
      </c>
      <c r="N11" s="1">
        <f>SUM(B22:E22)</f>
        <v>62.185612127864459</v>
      </c>
      <c r="O11" s="16">
        <f>SUM(B22:F22)</f>
        <v>85.262889477691658</v>
      </c>
      <c r="P11" s="16" t="e">
        <f>SUM(B22:G22)</f>
        <v>#VALUE!</v>
      </c>
    </row>
    <row r="12" spans="1:16">
      <c r="A12" t="s">
        <v>64</v>
      </c>
      <c r="B12" s="9">
        <f>IFERROR(338.34+108.98*'Finisher Model - NE Imperial'!S17-46.7864*('Finisher Model - NE Imperial'!S17*'Finisher Model - NE Imperial'!S17),"")</f>
        <v>400.39221617351848</v>
      </c>
      <c r="C12" s="9">
        <f>IFERROR(338.34+108.98*'Finisher Model - NE Imperial'!S18-46.7864*('Finisher Model - NE Imperial'!S18*'Finisher Model - NE Imperial'!S18),"")</f>
        <v>400.51965937276026</v>
      </c>
      <c r="D12" s="9">
        <f>IFERROR(338.34+108.98*'Finisher Model - NE Imperial'!S19-46.7864*('Finisher Model - NE Imperial'!S19*'Finisher Model - NE Imperial'!S19),"")</f>
        <v>400.23178872638016</v>
      </c>
      <c r="E12" s="9">
        <f>IFERROR(338.34+108.98*'Finisher Model - NE Imperial'!S20-46.7864*('Finisher Model - NE Imperial'!S20*'Finisher Model - NE Imperial'!S20),"")</f>
        <v>400.73647173059038</v>
      </c>
      <c r="F12" s="9">
        <f>IFERROR(338.34+108.98*'Finisher Model - NE Imperial'!S21-46.7864*('Finisher Model - NE Imperial'!S21*'Finisher Model - NE Imperial'!S21),"")</f>
        <v>401.66321580723843</v>
      </c>
      <c r="G12" s="9" t="str">
        <f>IFERROR(338.34+108.98*'Finisher Model - NE Imperial'!S22-46.7864*('Finisher Model - NE Imperial'!S22*'Finisher Model - NE Imperial'!S22),"")</f>
        <v/>
      </c>
      <c r="J12" s="17" t="s">
        <v>55</v>
      </c>
      <c r="K12" s="10">
        <f>IF('Finisher Model - NE Imperial'!$E$11=2,'Current Performance - NE '!L12,IF('Finisher Model - NE Imperial'!$E$11=3,'Current Performance - NE '!M12,IF('Finisher Model - NE Imperial'!$E$11=4,'Current Performance - NE '!N12,IF('Finisher Model - NE Imperial'!$E$11=5,'Current Performance - NE '!O12,IF('Finisher Model - NE Imperial'!$E$11=6,'Current Performance - NE '!P12,"")))))</f>
        <v>570</v>
      </c>
      <c r="L12" s="17">
        <f>SUM(B20:C20,'Finisher Model - NE Imperial'!C15)*'Finisher Model - NE Imperial'!E7</f>
        <v>260</v>
      </c>
      <c r="M12" s="17">
        <f>SUM(B20:D20,'Finisher Model - NE Imperial'!C15)*'Finisher Model - NE Imperial'!E7</f>
        <v>360</v>
      </c>
      <c r="N12" s="17">
        <f>SUM(B20:E20,'Finisher Model - NE Imperial'!C15)*'Finisher Model - NE Imperial'!E7</f>
        <v>460</v>
      </c>
      <c r="O12" s="17">
        <f>SUM(B20:F20,'Finisher Model - NE Imperial'!C15)*'Finisher Model - NE Imperial'!E7</f>
        <v>570</v>
      </c>
      <c r="P12" s="17" t="e">
        <f>SUM(B20:G20,'Finisher Model - NE Imperial'!C15)*'Finisher Model - NE Imperial'!E7</f>
        <v>#VALUE!</v>
      </c>
    </row>
    <row r="13" spans="1:16">
      <c r="A13" t="s">
        <v>65</v>
      </c>
      <c r="B13" s="6">
        <f t="shared" ref="B13:G13" si="2">(B11/B12)*1000</f>
        <v>2409.8903673981126</v>
      </c>
      <c r="C13" s="6">
        <f t="shared" si="2"/>
        <v>2411.1221398915345</v>
      </c>
      <c r="D13" s="6">
        <f t="shared" si="2"/>
        <v>2408.3712837712783</v>
      </c>
      <c r="E13" s="6">
        <f t="shared" si="2"/>
        <v>2413.2796587270018</v>
      </c>
      <c r="F13" s="6">
        <f t="shared" si="2"/>
        <v>2424.6755191415205</v>
      </c>
      <c r="G13" s="6" t="e">
        <f t="shared" si="2"/>
        <v>#VALUE!</v>
      </c>
      <c r="J13" s="17" t="s">
        <v>49</v>
      </c>
      <c r="K13" s="10">
        <f>IF('Finisher Model - NE Imperial'!$E$11=2,'Current Performance - NE '!L13,IF('Finisher Model - NE Imperial'!$E$11=3,'Current Performance - NE '!M13,IF('Finisher Model - NE Imperial'!$E$11=4,'Current Performance - NE '!N13,IF('Finisher Model - NE Imperial'!$E$11=5,'Current Performance - NE '!O13,IF('Finisher Model - NE Imperial'!$E$11=6,'Current Performance - NE '!P13,"")))))</f>
        <v>497.95982185958133</v>
      </c>
      <c r="L13" s="14">
        <f>L12-L10</f>
        <v>239.26527761790894</v>
      </c>
      <c r="M13" s="14">
        <f>M12-M10</f>
        <v>324.37911400348611</v>
      </c>
      <c r="N13" s="17">
        <f>N12-N10</f>
        <v>407.96313756781512</v>
      </c>
      <c r="O13" s="17">
        <f>O12-O10</f>
        <v>497.95982185958133</v>
      </c>
      <c r="P13" s="15" t="e">
        <f>P12-P10</f>
        <v>#VALUE!</v>
      </c>
    </row>
    <row r="14" spans="1:16" ht="16.5" thickBot="1">
      <c r="A14" t="s">
        <v>66</v>
      </c>
      <c r="B14" s="44">
        <f t="shared" ref="B14:G14" si="3">B13/B11</f>
        <v>2.4975510502097991</v>
      </c>
      <c r="C14" s="44">
        <f t="shared" si="3"/>
        <v>2.4967563429122674</v>
      </c>
      <c r="D14" s="44">
        <f t="shared" si="3"/>
        <v>2.4985521594429212</v>
      </c>
      <c r="E14" s="44">
        <f t="shared" si="3"/>
        <v>2.4954055109620428</v>
      </c>
      <c r="F14" s="44">
        <f t="shared" si="3"/>
        <v>2.4896479454566447</v>
      </c>
      <c r="G14" s="44" t="e">
        <f t="shared" si="3"/>
        <v>#VALUE!</v>
      </c>
      <c r="H14" s="2"/>
      <c r="J14" s="1" t="s">
        <v>50</v>
      </c>
      <c r="K14" s="16">
        <f>IF('Finisher Model - NE Imperial'!$E$11=2,'Current Performance - NE '!L14,IF('Finisher Model - NE Imperial'!$E$11=3,'Current Performance - NE '!M14,IF('Finisher Model - NE Imperial'!$E$11=4,'Current Performance - NE '!N14,IF('Finisher Model - NE Imperial'!$E$11=5,'Current Performance - NE '!O14,IF('Finisher Model - NE Imperial'!$E$11=6,'Current Performance - NE '!P14,"")))))</f>
        <v>484.73711052230834</v>
      </c>
      <c r="L14" s="16">
        <f>L12-L11</f>
        <v>234.75421882957608</v>
      </c>
      <c r="M14" s="16">
        <f>M12-M11</f>
        <v>317.04456408865485</v>
      </c>
      <c r="N14" s="1">
        <f t="shared" ref="N14" si="4">N12-N11</f>
        <v>397.81438787213551</v>
      </c>
      <c r="O14" s="1">
        <f>O12-O11</f>
        <v>484.73711052230834</v>
      </c>
      <c r="P14" s="16" t="e">
        <f>P12-P11</f>
        <v>#VALUE!</v>
      </c>
    </row>
    <row r="15" spans="1:16">
      <c r="A15" t="s">
        <v>88</v>
      </c>
      <c r="B15" s="124">
        <f>IF('Finisher Model - NE Imperial'!E11=2,(SUMPRODUCT(B14:C14,B16:C16)/SUM(B16:C16)),IF('Finisher Model - NE Imperial'!E11=3,(SUMPRODUCT(B14:D14,B16:D16)/SUM(B16:D16)),IF('Finisher Model - NE Imperial'!E11=4,(SUMPRODUCT(B14:E14,B16:E16)/SUM(B16:E16)),IF('Finisher Model - NE Imperial'!E11=5,(SUMPRODUCT(B14:F14,B16:F16)/SUM(B16:F16)),IF('Finisher Model - NE Imperial'!E11=6,(SUMPRODUCT(B14:G14,B16:G16)/SUM(B16:G16)),"")))))</f>
        <v>2.4953353974876968</v>
      </c>
      <c r="C15" s="7"/>
      <c r="D15" s="7"/>
      <c r="E15" s="7"/>
      <c r="F15" s="7"/>
      <c r="G15" s="7"/>
      <c r="J15" s="17" t="s">
        <v>56</v>
      </c>
      <c r="K15" s="10">
        <f>IF('Finisher Model - NE Imperial'!$E$11=2,'Current Performance - NE '!L15,IF('Finisher Model - NE Imperial'!$E$11=3,'Current Performance - NE '!M15,IF('Finisher Model - NE Imperial'!$E$11=4,'Current Performance - NE '!N15,IF('Finisher Model - NE Imperial'!$E$11=5,'Current Performance - NE '!O15,IF('Finisher Model - NE Imperial'!$E$11=6,'Current Performance - NE '!P15,"")))))</f>
        <v>216.51863722536069</v>
      </c>
      <c r="L15" s="17">
        <f>C28*'Finisher Model - NE Imperial'!$E$8</f>
        <v>216.51863722536069</v>
      </c>
      <c r="M15" s="17">
        <f>D28*'Finisher Model - NE Imperial'!$E$8</f>
        <v>216.51863722536069</v>
      </c>
      <c r="N15" s="17">
        <f>E28*'Finisher Model - NE Imperial'!$E$8</f>
        <v>216.51863722536069</v>
      </c>
      <c r="O15" s="17">
        <f>F28*'Finisher Model - NE Imperial'!$E$8</f>
        <v>216.51863722536069</v>
      </c>
      <c r="P15" s="17">
        <f>G28*'Finisher Model - NE Imperial'!$E$8</f>
        <v>216.51863722536069</v>
      </c>
    </row>
    <row r="16" spans="1:16">
      <c r="A16" t="s">
        <v>192</v>
      </c>
      <c r="B16" s="21">
        <f>((B6-B5)/2.2046)/(B11/1000)</f>
        <v>18.803871578509852</v>
      </c>
      <c r="C16" s="21">
        <f t="shared" ref="C16:G16" si="5">((C6-C5)/2.2046)/(C11/1000)</f>
        <v>18.78828499093067</v>
      </c>
      <c r="D16" s="21">
        <f t="shared" si="5"/>
        <v>23.529092720820081</v>
      </c>
      <c r="E16" s="21">
        <f t="shared" si="5"/>
        <v>23.451664840402422</v>
      </c>
      <c r="F16" s="21">
        <f t="shared" si="5"/>
        <v>25.616347013278709</v>
      </c>
      <c r="G16" s="21" t="e">
        <f t="shared" si="5"/>
        <v>#VALUE!</v>
      </c>
      <c r="H16" s="11">
        <f>IF('Finisher Model - NE Imperial'!E11=2,SUM(B16:C16),IF('Finisher Model - NE Imperial'!E11=3,SUM(B16:D16),IF('Finisher Model - NE Imperial'!E11=4,SUM(B16:E16),IF('Finisher Model - NE Imperial'!E11=5,SUM(B16:F16),IF('Finisher Model - NE Imperial'!E11=6,SUM(B16:G16),"")))))</f>
        <v>110.18926114394174</v>
      </c>
      <c r="J16" s="17" t="s">
        <v>57</v>
      </c>
      <c r="K16" s="10">
        <f>IF('Finisher Model - NE Imperial'!$E$11=2,'Current Performance - NE '!L16,IF('Finisher Model - NE Imperial'!$E$11=3,'Current Performance - NE '!M16,IF('Finisher Model - NE Imperial'!$E$11=4,'Current Performance - NE '!N16,IF('Finisher Model - NE Imperial'!$E$11=5,'Current Performance - NE '!O16,IF('Finisher Model - NE Imperial'!$E$11=6,'Current Performance - NE '!P16,"")))))</f>
        <v>144.47845908494205</v>
      </c>
      <c r="L16" s="15">
        <f>L15-L10</f>
        <v>195.78391484326963</v>
      </c>
      <c r="M16" s="15">
        <f>M15-M10</f>
        <v>180.8977512288468</v>
      </c>
      <c r="N16" s="15">
        <f>N15-N10</f>
        <v>164.48177479317582</v>
      </c>
      <c r="O16" s="15">
        <f>O15-O10</f>
        <v>144.47845908494205</v>
      </c>
      <c r="P16" s="15">
        <f>P15-P10</f>
        <v>144.47845908494205</v>
      </c>
    </row>
    <row r="17" spans="1:16" ht="16.5" thickBot="1">
      <c r="A17" t="s">
        <v>193</v>
      </c>
      <c r="B17" s="22">
        <f>(((B6*$B$36/100)-(B5*$B$36/100))/2.2046)/(B11/1000)</f>
        <v>14.285574206104018</v>
      </c>
      <c r="C17" s="22">
        <f t="shared" ref="C17:G17" si="6">(((C6*$B$36/100)-(C5*$B$36/100))/2.2046)/(C11/1000)</f>
        <v>14.273732849256168</v>
      </c>
      <c r="D17" s="22">
        <f t="shared" si="6"/>
        <v>17.875393301968828</v>
      </c>
      <c r="E17" s="22">
        <f t="shared" si="6"/>
        <v>17.816570217227515</v>
      </c>
      <c r="F17" s="22">
        <f t="shared" si="6"/>
        <v>19.461110687744007</v>
      </c>
      <c r="G17" s="22" t="e">
        <f t="shared" si="6"/>
        <v>#VALUE!</v>
      </c>
      <c r="H17" s="11">
        <f>IF('Finisher Model - NE Imperial'!E11=2,SUM(B17:C17),IF('Finisher Model - NE Imperial'!E11=3,SUM(B17:D17),IF('Finisher Model - NE Imperial'!E11=4,SUM(B17:E17),IF('Finisher Model - NE Imperial'!E11=5,SUM(B17:F17),IF('Finisher Model - NE Imperial'!E9=6,SUM(B17:G17),"")))))</f>
        <v>83.712381262300539</v>
      </c>
      <c r="J17" s="1" t="s">
        <v>58</v>
      </c>
      <c r="K17" s="16">
        <f>IF('Finisher Model - NE Imperial'!$E$11=2,'Current Performance - NE '!L17,IF('Finisher Model - NE Imperial'!$E$11=3,'Current Performance - NE '!M17,IF('Finisher Model - NE Imperial'!$E$11=4,'Current Performance - NE '!N17,IF('Finisher Model - NE Imperial'!$E$11=5,'Current Performance - NE '!O17,IF('Finisher Model - NE Imperial'!$E$11=6,'Current Performance - NE '!P17,"")))))</f>
        <v>131.25574774766903</v>
      </c>
      <c r="L17" s="16">
        <f>L15-L11</f>
        <v>191.27285605493677</v>
      </c>
      <c r="M17" s="16">
        <f>M15-M11</f>
        <v>173.56320131401554</v>
      </c>
      <c r="N17" s="1">
        <f>N15-N11</f>
        <v>154.33302509749623</v>
      </c>
      <c r="O17" s="16">
        <f>O15-O11</f>
        <v>131.25574774766903</v>
      </c>
      <c r="P17" s="16" t="e">
        <f>P15-P11</f>
        <v>#VALUE!</v>
      </c>
    </row>
    <row r="18" spans="1:16">
      <c r="A18" t="s">
        <v>199</v>
      </c>
      <c r="B18" s="25">
        <f>D52</f>
        <v>71.922624192517645</v>
      </c>
      <c r="C18" s="25">
        <f>D53</f>
        <v>83.365000277436735</v>
      </c>
      <c r="D18" s="25">
        <f>D54</f>
        <v>120.29709171621329</v>
      </c>
      <c r="E18" s="25">
        <f>D55</f>
        <v>138.17580434889948</v>
      </c>
      <c r="F18" s="25">
        <f>D56</f>
        <v>172.64329787454159</v>
      </c>
      <c r="G18" s="25">
        <f>D57</f>
        <v>-660.21625728083848</v>
      </c>
      <c r="H18" s="11"/>
    </row>
    <row r="19" spans="1:16">
      <c r="A19" t="s">
        <v>200</v>
      </c>
      <c r="B19" s="6">
        <f>(B18*(B9/2000))</f>
        <v>9.8789320459632588</v>
      </c>
      <c r="C19" s="6">
        <f t="shared" ref="C19:G19" si="7">(C18*(C9/2000))</f>
        <v>10.855790336127813</v>
      </c>
      <c r="D19" s="6">
        <f t="shared" si="7"/>
        <v>14.886163614422815</v>
      </c>
      <c r="E19" s="6">
        <f t="shared" si="7"/>
        <v>16.415976435671002</v>
      </c>
      <c r="F19" s="6">
        <f t="shared" si="7"/>
        <v>20.00331570823376</v>
      </c>
      <c r="G19" s="6">
        <f t="shared" si="7"/>
        <v>0</v>
      </c>
      <c r="K19" s="11"/>
      <c r="L19" s="11"/>
    </row>
    <row r="20" spans="1:16">
      <c r="A20" t="s">
        <v>201</v>
      </c>
      <c r="B20" s="6">
        <f t="shared" ref="B20:G20" si="8">B11/1000*B16*2.2046</f>
        <v>40</v>
      </c>
      <c r="C20" s="6">
        <f t="shared" si="8"/>
        <v>40</v>
      </c>
      <c r="D20" s="6">
        <f t="shared" si="8"/>
        <v>50</v>
      </c>
      <c r="E20" s="6">
        <f t="shared" si="8"/>
        <v>50</v>
      </c>
      <c r="F20" s="6">
        <f t="shared" si="8"/>
        <v>55</v>
      </c>
      <c r="G20" s="6" t="e">
        <f t="shared" si="8"/>
        <v>#VALUE!</v>
      </c>
      <c r="H20" s="11">
        <f>IF('Finisher Model - NE Imperial'!E11=2,SUM(B20:C20)+'Finisher Model - NE Imperial'!C15,IF('Finisher Model - NE Imperial'!E11=3,SUM(B20:D20)+'Finisher Model - NE Imperial'!C15,IF('Finisher Model - NE Imperial'!E11=4,SUM(B20:E20)+'Finisher Model - NE Imperial'!C15,IF('Finisher Model - NE Imperial'!E11=5,SUM(B20:F20)+'Finisher Model - NE Imperial'!C15,IF('Finisher Model - NE Imperial'!E11=6,SUM(B20:G20)+'Finisher Model - NE Imperial'!C15,"")))))</f>
        <v>285</v>
      </c>
      <c r="I20" s="6">
        <f>CONVERT(H20,"lbm","kg")</f>
        <v>129.27382545</v>
      </c>
    </row>
    <row r="21" spans="1:16">
      <c r="A21" t="s">
        <v>202</v>
      </c>
      <c r="B21" s="7">
        <f t="shared" ref="B21:G21" si="9">B19/((B11*0.00220462)*B16)</f>
        <v>0.24697106064231705</v>
      </c>
      <c r="C21" s="7">
        <f t="shared" si="9"/>
        <v>0.27139229634843387</v>
      </c>
      <c r="D21" s="7">
        <f t="shared" si="9"/>
        <v>0.29772057138515068</v>
      </c>
      <c r="E21" s="7">
        <f t="shared" si="9"/>
        <v>0.32831655024521494</v>
      </c>
      <c r="F21" s="7">
        <f t="shared" si="9"/>
        <v>0.36369334983618823</v>
      </c>
      <c r="G21" s="7" t="e">
        <f t="shared" si="9"/>
        <v>#VALUE!</v>
      </c>
      <c r="H21" s="11"/>
    </row>
    <row r="22" spans="1:16">
      <c r="A22" t="s">
        <v>203</v>
      </c>
      <c r="B22" s="7">
        <f>B19+(B16*'Finisher Model - NE Imperial'!$E$10)</f>
        <v>12.135396635384442</v>
      </c>
      <c r="C22" s="7">
        <f>C19+(C16*'Finisher Model - NE Imperial'!$E$10)</f>
        <v>13.110384535039493</v>
      </c>
      <c r="D22" s="7">
        <f>D19+(D16*'Finisher Model - NE Imperial'!$E$10)</f>
        <v>17.709654740921223</v>
      </c>
      <c r="E22" s="7">
        <f>E19+(E16*'Finisher Model - NE Imperial'!$E$10)</f>
        <v>19.230176216519293</v>
      </c>
      <c r="F22" s="7">
        <f>F19+(F16*'Finisher Model - NE Imperial'!$E$10)</f>
        <v>23.077277349827206</v>
      </c>
      <c r="G22" s="7" t="e">
        <f>G19+(G16*'Finisher Model - NE Imperial'!$E$10)</f>
        <v>#VALUE!</v>
      </c>
      <c r="H22" s="46"/>
      <c r="I22" s="29"/>
    </row>
    <row r="23" spans="1:16">
      <c r="A23" t="s">
        <v>204</v>
      </c>
      <c r="B23" s="7">
        <f>B20*'Finisher Model - NE Imperial'!$E$7</f>
        <v>80</v>
      </c>
      <c r="C23" s="7">
        <f>C20*'Finisher Model - NE Imperial'!$E$7</f>
        <v>80</v>
      </c>
      <c r="D23" s="7">
        <f>D20*'Finisher Model - NE Imperial'!$E$7</f>
        <v>100</v>
      </c>
      <c r="E23" s="7">
        <f>E20*'Finisher Model - NE Imperial'!$E$7</f>
        <v>100</v>
      </c>
      <c r="F23" s="7">
        <f>F20*'Finisher Model - NE Imperial'!$E$7</f>
        <v>110</v>
      </c>
      <c r="G23" s="7" t="e">
        <f>G20*'Finisher Model - NE Imperial'!$E$7</f>
        <v>#VALUE!</v>
      </c>
    </row>
    <row r="24" spans="1:16">
      <c r="A24" t="s">
        <v>39</v>
      </c>
      <c r="B24" s="7">
        <f t="shared" ref="B24:G24" si="10">B23-B19</f>
        <v>70.121067954036747</v>
      </c>
      <c r="C24" s="7">
        <f t="shared" si="10"/>
        <v>69.144209663872189</v>
      </c>
      <c r="D24" s="7">
        <f t="shared" si="10"/>
        <v>85.113836385577187</v>
      </c>
      <c r="E24" s="7">
        <f t="shared" si="10"/>
        <v>83.584023564329001</v>
      </c>
      <c r="F24" s="7">
        <f t="shared" si="10"/>
        <v>89.996684291766243</v>
      </c>
      <c r="G24" s="7" t="e">
        <f t="shared" si="10"/>
        <v>#VALUE!</v>
      </c>
      <c r="H24" s="10"/>
    </row>
    <row r="25" spans="1:16">
      <c r="A25" t="s">
        <v>40</v>
      </c>
      <c r="B25" s="7">
        <f t="shared" ref="B25:G25" si="11">B23-B22</f>
        <v>67.864603364615562</v>
      </c>
      <c r="C25" s="7">
        <f t="shared" si="11"/>
        <v>66.889615464960514</v>
      </c>
      <c r="D25" s="7">
        <f t="shared" si="11"/>
        <v>82.290345259078777</v>
      </c>
      <c r="E25" s="7">
        <f t="shared" si="11"/>
        <v>80.769823783480703</v>
      </c>
      <c r="F25" s="7">
        <f t="shared" si="11"/>
        <v>86.922722650172801</v>
      </c>
      <c r="G25" s="7" t="e">
        <f t="shared" si="11"/>
        <v>#VALUE!</v>
      </c>
    </row>
    <row r="26" spans="1:16">
      <c r="A26" t="s">
        <v>90</v>
      </c>
      <c r="B26" s="7">
        <f>'Finisher Model - NE Imperial'!S17</f>
        <v>0.99106590262234673</v>
      </c>
      <c r="C26" s="7">
        <f>'Finisher Model - NE Imperial'!S18</f>
        <v>0.99909765999437017</v>
      </c>
      <c r="D26" s="7">
        <f>'Finisher Model - NE Imperial'!S19</f>
        <v>0.98145534358358266</v>
      </c>
      <c r="E26" s="7">
        <f>'Finisher Model - NE Imperial'!S20</f>
        <v>1.0137406723629696</v>
      </c>
      <c r="F26" s="7">
        <f>'Finisher Model - NE Imperial'!S21</f>
        <v>1.1101839646674505</v>
      </c>
      <c r="G26" s="7" t="str">
        <f>'Finisher Model - NE Imperial'!S22</f>
        <v/>
      </c>
    </row>
    <row r="27" spans="1:16">
      <c r="A27" t="s">
        <v>91</v>
      </c>
      <c r="B27" s="7">
        <f>SUMPRODUCT(B26,B18)/SUM(B18)</f>
        <v>0.99106590262234673</v>
      </c>
      <c r="C27" s="7">
        <f>SUMPRODUCT(B26:C26,B18:C18)/SUM(B18:C18)</f>
        <v>0.99537769152266953</v>
      </c>
      <c r="D27" s="7">
        <f>SUMPRODUCT(B26:D26,B18:D18)/SUM(B18:D18)</f>
        <v>0.98930036622643658</v>
      </c>
      <c r="E27" s="7">
        <f>SUMPRODUCT(B26:E26,B18:E18)/SUM(B18:E18)</f>
        <v>0.99746223472607409</v>
      </c>
      <c r="F27" s="7">
        <f>SUMPRODUCT(B26:F26,B18:F18)/SUM(B18:F18)</f>
        <v>1.0306486680136031</v>
      </c>
      <c r="G27" s="7">
        <f>SUMPRODUCT(B26:G26,B18:G18)/SUM(B18:G18)</f>
        <v>-8.1880008790432264</v>
      </c>
    </row>
    <row r="28" spans="1:16">
      <c r="A28" t="s">
        <v>175</v>
      </c>
      <c r="B28" s="7">
        <f t="shared" ref="B28:G28" si="12">$H$20*B36/100</f>
        <v>216.51863722536069</v>
      </c>
      <c r="C28" s="70">
        <f t="shared" si="12"/>
        <v>216.51863722536069</v>
      </c>
      <c r="D28" s="70">
        <f t="shared" si="12"/>
        <v>216.51863722536069</v>
      </c>
      <c r="E28" s="70">
        <f t="shared" si="12"/>
        <v>216.51863722536069</v>
      </c>
      <c r="F28" s="70">
        <f t="shared" si="12"/>
        <v>216.51863722536069</v>
      </c>
      <c r="G28" s="70">
        <f t="shared" si="12"/>
        <v>216.51863722536069</v>
      </c>
    </row>
    <row r="29" spans="1:16">
      <c r="A29" t="s">
        <v>172</v>
      </c>
      <c r="B29" s="76">
        <f t="shared" ref="B29:G29" si="13">(VLOOKUP($I$20,$C$63:$I$102,7,TRUE))*100</f>
        <v>74.834422113559796</v>
      </c>
      <c r="C29" s="76">
        <f t="shared" si="13"/>
        <v>74.834422113559796</v>
      </c>
      <c r="D29" s="76">
        <f t="shared" si="13"/>
        <v>74.834422113559796</v>
      </c>
      <c r="E29" s="76">
        <f t="shared" si="13"/>
        <v>74.834422113559796</v>
      </c>
      <c r="F29" s="76">
        <f t="shared" si="13"/>
        <v>74.834422113559796</v>
      </c>
      <c r="G29" s="76">
        <f t="shared" si="13"/>
        <v>74.834422113559796</v>
      </c>
    </row>
    <row r="30" spans="1:16">
      <c r="A30" t="s">
        <v>107</v>
      </c>
      <c r="B30" s="6">
        <f>'Finisher Model - NE Imperial'!E9</f>
        <v>76</v>
      </c>
      <c r="C30" s="7"/>
      <c r="D30" s="7"/>
      <c r="E30" s="7"/>
      <c r="F30" s="7"/>
      <c r="G30" s="7"/>
    </row>
    <row r="31" spans="1:16">
      <c r="A31" t="s">
        <v>108</v>
      </c>
      <c r="B31" s="54">
        <f>B30/B29</f>
        <v>1.0155754244306379</v>
      </c>
      <c r="C31" s="9"/>
      <c r="D31" s="9"/>
      <c r="E31" s="9"/>
      <c r="F31" s="9"/>
      <c r="G31" s="9"/>
    </row>
    <row r="32" spans="1:16">
      <c r="A32" s="53" t="s">
        <v>168</v>
      </c>
      <c r="B32" s="70">
        <f>'Finisher Model - NE Imperial'!S17</f>
        <v>0.99106590262234673</v>
      </c>
      <c r="C32" s="70">
        <f>'Finisher Model - NE Imperial'!S18</f>
        <v>0.99909765999437017</v>
      </c>
      <c r="D32" s="70">
        <f>'Finisher Model - NE Imperial'!S19</f>
        <v>0.98145534358358266</v>
      </c>
      <c r="E32" s="70">
        <f>'Finisher Model - NE Imperial'!S20</f>
        <v>1.0137406723629696</v>
      </c>
      <c r="F32" s="70">
        <f>'Finisher Model - NE Imperial'!S21</f>
        <v>1.1101839646674505</v>
      </c>
      <c r="G32" s="70" t="str">
        <f>'Finisher Model - NE Imperial'!S22</f>
        <v/>
      </c>
      <c r="H32" s="70">
        <f>IF('Finisher Model - NE Imperial'!E11=2,(SUMPRODUCT(B32:C32,B16:C16)/SUM(B16:C16)),IF('Finisher Model - NE Imperial'!E11=3,(SUMPRODUCT(B32:D32,B16:D16)/SUM(B16:D16)),IF('Finisher Model - NE Imperial'!E11=4,(SUMPRODUCT(B32:E32,B16:E16)/SUM(B16:E16)),IF('Finisher Model - NE Imperial'!E11=5,(SUMPRODUCT(B32:F32,B16:F16)/SUM(B16:F16)),IF('Finisher Model - NE Imperial'!E11=6,(SUMPRODUCT(B32:G32,B16:G16)/SUM(B16:G16)),"")))))</f>
        <v>1.022901182109031</v>
      </c>
    </row>
    <row r="33" spans="1:10">
      <c r="A33" t="s">
        <v>169</v>
      </c>
      <c r="B33" s="70">
        <f>73.859-1.19192*H32</f>
        <v>72.639783623020605</v>
      </c>
      <c r="C33" s="5"/>
      <c r="D33" s="5"/>
      <c r="E33" s="5"/>
      <c r="F33" s="5"/>
      <c r="G33" s="5"/>
    </row>
    <row r="34" spans="1:10">
      <c r="A34" t="s">
        <v>171</v>
      </c>
      <c r="B34" s="70">
        <f>73.859-1.19192*1</f>
        <v>72.667079999999999</v>
      </c>
      <c r="C34" s="6"/>
    </row>
    <row r="35" spans="1:10">
      <c r="A35" t="s">
        <v>173</v>
      </c>
      <c r="B35" s="54">
        <f>B33/$B$34</f>
        <v>0.9996243639213328</v>
      </c>
    </row>
    <row r="36" spans="1:10">
      <c r="A36" t="s">
        <v>174</v>
      </c>
      <c r="B36" s="70">
        <f t="shared" ref="B36:G36" si="14">(VLOOKUP($I$20,$C$63:$K$102,9,TRUE))</f>
        <v>75.971451658021294</v>
      </c>
      <c r="C36" s="70">
        <f t="shared" si="14"/>
        <v>75.971451658021294</v>
      </c>
      <c r="D36" s="70">
        <f t="shared" si="14"/>
        <v>75.971451658021294</v>
      </c>
      <c r="E36" s="70">
        <f t="shared" si="14"/>
        <v>75.971451658021294</v>
      </c>
      <c r="F36" s="70">
        <f t="shared" si="14"/>
        <v>75.971451658021294</v>
      </c>
      <c r="G36" s="70">
        <f t="shared" si="14"/>
        <v>75.971451658021294</v>
      </c>
    </row>
    <row r="38" spans="1:10">
      <c r="J38" t="s">
        <v>166</v>
      </c>
    </row>
    <row r="39" spans="1:10">
      <c r="J39" t="s">
        <v>167</v>
      </c>
    </row>
    <row r="45" spans="1:10" ht="16.5" thickBot="1"/>
    <row r="46" spans="1:10" ht="17.100000000000001" customHeight="1" thickBot="1">
      <c r="B46" s="309" t="s">
        <v>69</v>
      </c>
      <c r="C46" s="310"/>
      <c r="D46" s="310"/>
      <c r="E46" s="311"/>
    </row>
    <row r="47" spans="1:10" ht="18" customHeight="1" thickBot="1">
      <c r="B47" s="309" t="s">
        <v>70</v>
      </c>
      <c r="C47" s="310"/>
      <c r="D47" s="310"/>
      <c r="E47" s="311"/>
    </row>
    <row r="48" spans="1:10" ht="16.5" thickBot="1">
      <c r="B48" s="39" t="s">
        <v>71</v>
      </c>
      <c r="C48" s="39" t="s">
        <v>72</v>
      </c>
      <c r="D48" s="39" t="s">
        <v>73</v>
      </c>
      <c r="E48" s="30"/>
    </row>
    <row r="49" spans="1:11" ht="16.5" thickBot="1">
      <c r="B49" s="40">
        <f>'Finisher Model - NE Imperial'!C15</f>
        <v>50</v>
      </c>
      <c r="C49" s="39">
        <f>IF('Finisher Model - NE Imperial'!$E$11=2,'Finisher Model - NE Imperial'!D16,IF('Finisher Model - NE Imperial'!$E$11=3,'Finisher Model - NE Imperial'!D17,IF('Finisher Model - NE Imperial'!$E$11=4,'Finisher Model - NE Imperial'!D18,IF('Finisher Model - NE Imperial'!$E$11=5,'Finisher Model - NE Imperial'!D19,IF('Finisher Model - NE Imperial'!$E$11=6,'Finisher Model - NE Imperial'!D20,"")))))</f>
        <v>285</v>
      </c>
      <c r="D49" s="45">
        <f>B15</f>
        <v>2.4953353974876968</v>
      </c>
      <c r="E49" s="33"/>
    </row>
    <row r="50" spans="1:11">
      <c r="B50" s="34"/>
      <c r="C50" s="17"/>
      <c r="D50" s="17"/>
      <c r="E50" s="33"/>
    </row>
    <row r="51" spans="1:11">
      <c r="B51" s="35" t="s">
        <v>71</v>
      </c>
      <c r="C51" s="32" t="s">
        <v>72</v>
      </c>
      <c r="D51" s="42" t="s">
        <v>74</v>
      </c>
      <c r="E51" s="36">
        <f>IF(B52=0,F51,((0.00463*B52^2 + 1.68*B52 - 22.05)/(((0.00463*C49^2 + 1.68*C49 - 22.05)-(0.00463*B49^2 + 1.68*B49 - 22.05))/(C49-B49))*D49))</f>
        <v>56.783254700571938</v>
      </c>
    </row>
    <row r="52" spans="1:11">
      <c r="A52">
        <v>1</v>
      </c>
      <c r="B52" s="31">
        <f>'Finisher Model - NE Imperial'!C15</f>
        <v>50</v>
      </c>
      <c r="C52" s="37">
        <f>'Finisher Model - NE Imperial'!D15</f>
        <v>90</v>
      </c>
      <c r="D52" s="43">
        <f>IF(C52="","",(E52-E51))</f>
        <v>71.922624192517645</v>
      </c>
      <c r="E52" s="36">
        <f t="shared" ref="E52:E57" si="15">IF(B53="","",((0.00463*B53^2 + 1.68*B53 - 22.05)/(((0.00463*$C$49^2 + 1.68*$C$49 - 22.05)-(0.00463*$B$49^2 + 1.68*$B$49 - 22.05))/($C$49-$B$49))*$D$49))</f>
        <v>128.70587889308959</v>
      </c>
    </row>
    <row r="53" spans="1:11">
      <c r="A53">
        <v>2</v>
      </c>
      <c r="B53" s="31">
        <f t="shared" ref="B53:B58" si="16">C52</f>
        <v>90</v>
      </c>
      <c r="C53" s="37">
        <f>'Finisher Model - NE Imperial'!D16</f>
        <v>130</v>
      </c>
      <c r="D53" s="43">
        <f t="shared" ref="D53:D54" si="17">IF(C53="","",(E53-E52))</f>
        <v>83.365000277436735</v>
      </c>
      <c r="E53" s="36">
        <f t="shared" si="15"/>
        <v>212.07087917052633</v>
      </c>
    </row>
    <row r="54" spans="1:11">
      <c r="A54">
        <v>3</v>
      </c>
      <c r="B54" s="31">
        <f t="shared" si="16"/>
        <v>130</v>
      </c>
      <c r="C54" s="37">
        <f>'Finisher Model - NE Imperial'!D17</f>
        <v>180</v>
      </c>
      <c r="D54" s="43">
        <f t="shared" si="17"/>
        <v>120.29709171621329</v>
      </c>
      <c r="E54" s="36">
        <f t="shared" si="15"/>
        <v>332.36797088673961</v>
      </c>
    </row>
    <row r="55" spans="1:11">
      <c r="A55">
        <v>4</v>
      </c>
      <c r="B55" s="35">
        <f t="shared" si="16"/>
        <v>180</v>
      </c>
      <c r="C55" s="37">
        <f>'Finisher Model - NE Imperial'!D18</f>
        <v>230</v>
      </c>
      <c r="D55" s="43">
        <f>IF(C55="","",(E55-E54))</f>
        <v>138.17580434889948</v>
      </c>
      <c r="E55" s="36">
        <f t="shared" si="15"/>
        <v>470.54377523563909</v>
      </c>
    </row>
    <row r="56" spans="1:11">
      <c r="A56">
        <v>5</v>
      </c>
      <c r="B56" s="31">
        <f t="shared" si="16"/>
        <v>230</v>
      </c>
      <c r="C56" s="37">
        <f>'Finisher Model - NE Imperial'!D19</f>
        <v>285</v>
      </c>
      <c r="D56" s="43">
        <f>IF(C56="","",(E56-E55))</f>
        <v>172.64329787454159</v>
      </c>
      <c r="E56" s="36">
        <f t="shared" si="15"/>
        <v>643.18707311018068</v>
      </c>
    </row>
    <row r="57" spans="1:11" ht="16.5" thickBot="1">
      <c r="A57">
        <v>6</v>
      </c>
      <c r="B57" s="38">
        <f t="shared" si="16"/>
        <v>285</v>
      </c>
      <c r="C57" s="62">
        <f>'Finisher Model - NE Imperial'!D20</f>
        <v>0</v>
      </c>
      <c r="D57" s="63">
        <f>IF(C57="","",(E57-E56))</f>
        <v>-660.21625728083848</v>
      </c>
      <c r="E57" s="66">
        <f t="shared" si="15"/>
        <v>-17.02918417065775</v>
      </c>
    </row>
    <row r="58" spans="1:11">
      <c r="B58" s="3">
        <f t="shared" si="16"/>
        <v>0</v>
      </c>
    </row>
    <row r="61" spans="1:11" ht="57.75">
      <c r="B61" s="48" t="s">
        <v>92</v>
      </c>
      <c r="C61" s="48" t="s">
        <v>93</v>
      </c>
      <c r="D61" s="67" t="s">
        <v>94</v>
      </c>
      <c r="E61" s="67"/>
      <c r="F61" s="67"/>
      <c r="G61" s="67"/>
      <c r="H61" s="5"/>
      <c r="I61" s="68" t="s">
        <v>95</v>
      </c>
    </row>
    <row r="62" spans="1:11">
      <c r="B62" s="49" t="s">
        <v>96</v>
      </c>
      <c r="C62" s="49" t="s">
        <v>96</v>
      </c>
      <c r="D62" s="49" t="s">
        <v>97</v>
      </c>
      <c r="E62" s="49" t="s">
        <v>98</v>
      </c>
      <c r="F62" s="49" t="s">
        <v>99</v>
      </c>
      <c r="G62" s="49"/>
      <c r="I62" s="69"/>
      <c r="J62" s="49" t="s">
        <v>109</v>
      </c>
      <c r="K62" t="s">
        <v>170</v>
      </c>
    </row>
    <row r="63" spans="1:11">
      <c r="B63" s="48">
        <v>81</v>
      </c>
      <c r="C63" s="50">
        <v>110.17670623134534</v>
      </c>
      <c r="D63" s="6">
        <v>16.864782047899471</v>
      </c>
      <c r="E63" s="6">
        <v>14.510728742835685</v>
      </c>
      <c r="F63" s="50">
        <v>15.687755395367578</v>
      </c>
      <c r="G63" s="50"/>
      <c r="I63" s="52">
        <v>0.73518262408316082</v>
      </c>
      <c r="J63" s="51">
        <f t="shared" ref="J63:J102" si="18">($B$31*I63)*100</f>
        <v>74.663340548728613</v>
      </c>
      <c r="K63" s="6">
        <f t="shared" ref="K63:K102" si="19">J63*$B$35</f>
        <v>74.63529430426469</v>
      </c>
    </row>
    <row r="64" spans="1:11">
      <c r="B64" s="48">
        <v>82</v>
      </c>
      <c r="C64" s="50">
        <v>111.4039519642067</v>
      </c>
      <c r="D64" s="6">
        <v>17.074455706764272</v>
      </c>
      <c r="E64" s="6">
        <v>14.613701440729169</v>
      </c>
      <c r="F64" s="50">
        <v>15.844078573746721</v>
      </c>
      <c r="G64" s="50"/>
      <c r="H64" s="51"/>
      <c r="I64" s="52">
        <v>0.73606006388665657</v>
      </c>
      <c r="J64" s="51">
        <f t="shared" si="18"/>
        <v>74.752451178813359</v>
      </c>
      <c r="K64" s="6">
        <f t="shared" si="19"/>
        <v>74.724371461181789</v>
      </c>
    </row>
    <row r="65" spans="2:11">
      <c r="B65" s="48">
        <v>83</v>
      </c>
      <c r="C65" s="50">
        <v>112.6282752396024</v>
      </c>
      <c r="D65" s="6">
        <v>17.284147265806148</v>
      </c>
      <c r="E65" s="6">
        <v>14.71614342750836</v>
      </c>
      <c r="F65" s="50">
        <v>16.000145346657256</v>
      </c>
      <c r="G65" s="50"/>
      <c r="H65" s="51"/>
      <c r="I65" s="52">
        <v>0.73693750369015243</v>
      </c>
      <c r="J65" s="51">
        <f t="shared" si="18"/>
        <v>74.84156180889812</v>
      </c>
      <c r="K65" s="6">
        <f t="shared" si="19"/>
        <v>74.813448618098903</v>
      </c>
    </row>
    <row r="66" spans="2:11">
      <c r="B66" s="48">
        <v>84</v>
      </c>
      <c r="C66" s="50">
        <v>113.84968648405146</v>
      </c>
      <c r="D66" s="6">
        <v>17.493856510850449</v>
      </c>
      <c r="E66" s="6">
        <v>14.81806378371237</v>
      </c>
      <c r="F66" s="50">
        <v>16.155960147281409</v>
      </c>
      <c r="G66" s="50"/>
      <c r="H66" s="51"/>
      <c r="I66" s="52">
        <v>0.73781494349364829</v>
      </c>
      <c r="J66" s="51">
        <f t="shared" si="18"/>
        <v>74.930672438982896</v>
      </c>
      <c r="K66" s="6">
        <f t="shared" si="19"/>
        <v>74.902525775016016</v>
      </c>
    </row>
    <row r="67" spans="2:11">
      <c r="B67" s="48">
        <v>85</v>
      </c>
      <c r="C67" s="50">
        <v>115.06819607453319</v>
      </c>
      <c r="D67" s="6">
        <v>17.703583232804778</v>
      </c>
      <c r="E67" s="6">
        <v>14.919471328516645</v>
      </c>
      <c r="F67" s="50">
        <v>16.311527280660712</v>
      </c>
      <c r="G67" s="50"/>
      <c r="H67" s="51"/>
      <c r="I67" s="52">
        <v>0.73869238329714404</v>
      </c>
      <c r="J67" s="51">
        <f t="shared" si="18"/>
        <v>75.019783069067643</v>
      </c>
      <c r="K67" s="6">
        <f t="shared" si="19"/>
        <v>74.991602931933116</v>
      </c>
    </row>
    <row r="68" spans="2:11">
      <c r="B68" s="48">
        <v>86</v>
      </c>
      <c r="C68" s="50">
        <v>116.28381433878111</v>
      </c>
      <c r="D68" s="6">
        <v>17.913327227479776</v>
      </c>
      <c r="E68" s="6">
        <v>15.020374630235036</v>
      </c>
      <c r="F68" s="50">
        <v>16.466850928857404</v>
      </c>
      <c r="G68" s="50"/>
      <c r="H68" s="50"/>
      <c r="I68" s="52">
        <v>0.7395698231006399</v>
      </c>
      <c r="J68" s="51">
        <f t="shared" si="18"/>
        <v>75.108893699152418</v>
      </c>
      <c r="K68" s="6">
        <f t="shared" si="19"/>
        <v>75.080680088850244</v>
      </c>
    </row>
    <row r="69" spans="2:11">
      <c r="B69" s="48">
        <v>87</v>
      </c>
      <c r="C69" s="50">
        <v>117.49655155557477</v>
      </c>
      <c r="D69" s="6">
        <v>18.123088295418643</v>
      </c>
      <c r="E69" s="6">
        <v>15.120782016283018</v>
      </c>
      <c r="F69" s="50">
        <v>16.621935155850831</v>
      </c>
      <c r="G69" s="50"/>
      <c r="H69" s="50"/>
      <c r="I69" s="52">
        <v>0.74044726290413565</v>
      </c>
      <c r="J69" s="51">
        <f t="shared" si="18"/>
        <v>75.198004329237165</v>
      </c>
      <c r="K69" s="6">
        <f t="shared" si="19"/>
        <v>75.169757245767329</v>
      </c>
    </row>
    <row r="70" spans="2:11">
      <c r="B70" s="48">
        <v>88</v>
      </c>
      <c r="C70" s="50">
        <v>118.70641795502937</v>
      </c>
      <c r="D70" s="6">
        <v>18.332866241734184</v>
      </c>
      <c r="E70" s="6">
        <v>15.220701582635391</v>
      </c>
      <c r="F70" s="50">
        <v>16.776783912184786</v>
      </c>
      <c r="G70" s="50"/>
      <c r="H70" s="50"/>
      <c r="I70" s="52">
        <v>0.74132470270763151</v>
      </c>
      <c r="J70" s="51">
        <f t="shared" si="18"/>
        <v>75.287114959321926</v>
      </c>
      <c r="K70" s="6">
        <f t="shared" si="19"/>
        <v>75.258834402684442</v>
      </c>
    </row>
    <row r="71" spans="2:11">
      <c r="B71" s="48">
        <v>89</v>
      </c>
      <c r="C71" s="50">
        <v>119.91342371888354</v>
      </c>
      <c r="D71" s="6">
        <v>18.542660875953423</v>
      </c>
      <c r="E71" s="6">
        <v>15.320141202809715</v>
      </c>
      <c r="F71" s="50">
        <v>16.931401039381569</v>
      </c>
      <c r="G71" s="50"/>
      <c r="H71" s="50"/>
      <c r="I71" s="52">
        <v>0.74220214251112737</v>
      </c>
      <c r="J71" s="51">
        <f t="shared" si="18"/>
        <v>75.376225589406701</v>
      </c>
      <c r="K71" s="6">
        <f t="shared" si="19"/>
        <v>75.347911559601556</v>
      </c>
    </row>
    <row r="72" spans="2:11">
      <c r="B72" s="5">
        <v>90</v>
      </c>
      <c r="C72" s="50">
        <v>121.11757898078487</v>
      </c>
      <c r="D72" s="6">
        <v>18.752472011869195</v>
      </c>
      <c r="E72" s="6">
        <v>15.419108536404257</v>
      </c>
      <c r="F72" s="50">
        <v>17.085790274136727</v>
      </c>
      <c r="G72" s="50"/>
      <c r="H72" s="6"/>
      <c r="I72" s="52">
        <v>0.74307958231462312</v>
      </c>
      <c r="J72" s="51">
        <f t="shared" si="18"/>
        <v>75.465336219491448</v>
      </c>
      <c r="K72" s="6">
        <f t="shared" si="19"/>
        <v>75.436988716518655</v>
      </c>
    </row>
    <row r="73" spans="2:11">
      <c r="B73" s="5">
        <v>91</v>
      </c>
      <c r="C73" s="50">
        <v>122.31889382657351</v>
      </c>
      <c r="D73" s="6">
        <v>18.962299467398132</v>
      </c>
      <c r="E73" s="6">
        <v>15.517611037217174</v>
      </c>
      <c r="F73" s="50">
        <v>17.239955252307652</v>
      </c>
      <c r="G73" s="50"/>
      <c r="H73" s="6"/>
      <c r="I73" s="52">
        <v>0.74395702211811898</v>
      </c>
      <c r="J73" s="51">
        <f t="shared" si="18"/>
        <v>75.554446849576223</v>
      </c>
      <c r="K73" s="6">
        <f t="shared" si="19"/>
        <v>75.526065873435783</v>
      </c>
    </row>
    <row r="74" spans="2:11">
      <c r="B74" s="5">
        <v>92</v>
      </c>
      <c r="C74" s="50">
        <v>123.51737829456385</v>
      </c>
      <c r="D74" s="6">
        <v>19.172143064445141</v>
      </c>
      <c r="E74" s="6">
        <v>15.615655960971905</v>
      </c>
      <c r="F74" s="50">
        <v>17.393899512708522</v>
      </c>
      <c r="G74" s="50"/>
      <c r="H74" s="6"/>
      <c r="I74" s="52">
        <v>0.74483446192161473</v>
      </c>
      <c r="J74" s="51">
        <f t="shared" si="18"/>
        <v>75.643557479660956</v>
      </c>
      <c r="K74" s="6">
        <f t="shared" si="19"/>
        <v>75.615143030352854</v>
      </c>
    </row>
    <row r="75" spans="2:11">
      <c r="B75" s="5">
        <v>93</v>
      </c>
      <c r="C75" s="50">
        <v>124.71304237582397</v>
      </c>
      <c r="D75" s="6">
        <v>19.382002628773577</v>
      </c>
      <c r="E75" s="6">
        <v>15.713250372671933</v>
      </c>
      <c r="F75" s="50">
        <v>17.547626500722757</v>
      </c>
      <c r="G75" s="50"/>
      <c r="H75" s="6"/>
      <c r="I75" s="52">
        <v>0.74571190172511059</v>
      </c>
      <c r="J75" s="51">
        <f t="shared" si="18"/>
        <v>75.732668109745731</v>
      </c>
      <c r="K75" s="6">
        <f t="shared" si="19"/>
        <v>75.704220187269982</v>
      </c>
    </row>
    <row r="76" spans="2:11">
      <c r="B76" s="5">
        <v>94</v>
      </c>
      <c r="C76" s="50">
        <v>125.90589601445348</v>
      </c>
      <c r="D76" s="6">
        <v>19.591877989881006</v>
      </c>
      <c r="E76" s="6">
        <v>15.81040115360647</v>
      </c>
      <c r="F76" s="50">
        <v>17.701139571743738</v>
      </c>
      <c r="G76" s="50"/>
      <c r="H76" s="6"/>
      <c r="I76" s="52">
        <v>0.74658934152860634</v>
      </c>
      <c r="J76" s="51">
        <f t="shared" si="18"/>
        <v>75.821778739830478</v>
      </c>
      <c r="K76" s="6">
        <f t="shared" si="19"/>
        <v>75.793297344187081</v>
      </c>
    </row>
    <row r="77" spans="2:11">
      <c r="B77" s="5">
        <v>95</v>
      </c>
      <c r="C77" s="50">
        <v>127.09594910785896</v>
      </c>
      <c r="D77" s="6">
        <v>19.80176898088045</v>
      </c>
      <c r="E77" s="6">
        <v>15.907115008027194</v>
      </c>
      <c r="F77" s="50">
        <v>17.854441994453822</v>
      </c>
      <c r="G77" s="50"/>
      <c r="H77" s="6"/>
      <c r="I77" s="52">
        <v>0.7474667813321022</v>
      </c>
      <c r="J77" s="51">
        <f t="shared" si="18"/>
        <v>75.910889369915253</v>
      </c>
      <c r="K77" s="6">
        <f t="shared" si="19"/>
        <v>75.882374501104195</v>
      </c>
    </row>
    <row r="78" spans="2:11">
      <c r="B78" s="5">
        <v>96</v>
      </c>
      <c r="C78" s="50">
        <v>128.28321150702794</v>
      </c>
      <c r="D78" s="6">
        <v>20.011675438386312</v>
      </c>
      <c r="E78" s="6">
        <v>16.003398469514622</v>
      </c>
      <c r="F78" s="50">
        <v>18.007536953950467</v>
      </c>
      <c r="G78" s="50"/>
      <c r="H78" s="6"/>
      <c r="I78" s="52">
        <v>0.74834422113559795</v>
      </c>
      <c r="J78" s="51">
        <f t="shared" si="18"/>
        <v>76</v>
      </c>
      <c r="K78" s="6">
        <f t="shared" si="19"/>
        <v>75.971451658021294</v>
      </c>
    </row>
    <row r="79" spans="2:11">
      <c r="B79" s="5">
        <v>97</v>
      </c>
      <c r="C79" s="50">
        <v>129.46769301680052</v>
      </c>
      <c r="D79" s="6">
        <v>20.221597202405267</v>
      </c>
      <c r="E79" s="6">
        <v>16.099257907051943</v>
      </c>
      <c r="F79" s="50">
        <v>18.160427554728606</v>
      </c>
      <c r="G79" s="50"/>
      <c r="H79" s="6"/>
      <c r="I79" s="52">
        <v>0.74922166093909381</v>
      </c>
      <c r="J79" s="51">
        <f t="shared" si="18"/>
        <v>76.089110630084761</v>
      </c>
      <c r="K79" s="6">
        <f t="shared" si="19"/>
        <v>76.060528814938408</v>
      </c>
    </row>
    <row r="80" spans="2:11">
      <c r="B80" s="5">
        <v>98</v>
      </c>
      <c r="C80" s="50">
        <v>130.64940339613941</v>
      </c>
      <c r="D80" s="6">
        <v>20.43153411623155</v>
      </c>
      <c r="E80" s="6">
        <v>16.194699530822238</v>
      </c>
      <c r="F80" s="50">
        <v>18.313116823526894</v>
      </c>
      <c r="G80" s="50"/>
      <c r="H80" s="6"/>
      <c r="I80" s="52">
        <v>0.75009910074258968</v>
      </c>
      <c r="J80" s="51">
        <f t="shared" si="18"/>
        <v>76.178221260169536</v>
      </c>
      <c r="K80" s="6">
        <f t="shared" si="19"/>
        <v>76.149605971855522</v>
      </c>
    </row>
    <row r="81" spans="2:11">
      <c r="B81" s="5">
        <v>99</v>
      </c>
      <c r="C81" s="50">
        <v>131.82835235839786</v>
      </c>
      <c r="D81" s="6">
        <v>20.641486026346577</v>
      </c>
      <c r="E81" s="6">
        <v>16.289729397744711</v>
      </c>
      <c r="F81" s="50">
        <v>18.465607712045646</v>
      </c>
      <c r="G81" s="50"/>
      <c r="H81" s="6"/>
      <c r="I81" s="52">
        <v>0.75097654054608542</v>
      </c>
      <c r="J81" s="51">
        <f t="shared" si="18"/>
        <v>76.267331890254283</v>
      </c>
      <c r="K81" s="6">
        <f t="shared" si="19"/>
        <v>76.238683128772621</v>
      </c>
    </row>
    <row r="82" spans="2:11">
      <c r="B82" s="5">
        <v>100</v>
      </c>
      <c r="C82" s="50">
        <v>133.00454957158581</v>
      </c>
      <c r="D82" s="6">
        <v>20.851452782322603</v>
      </c>
      <c r="E82" s="6">
        <v>16.384353416763961</v>
      </c>
      <c r="F82" s="50">
        <v>18.617903099543284</v>
      </c>
      <c r="G82" s="50"/>
      <c r="H82" s="6"/>
      <c r="I82" s="52">
        <v>0.75185398034958129</v>
      </c>
      <c r="J82" s="51">
        <f t="shared" si="18"/>
        <v>76.356442520339058</v>
      </c>
      <c r="K82" s="6">
        <f t="shared" si="19"/>
        <v>76.327760285689735</v>
      </c>
    </row>
    <row r="83" spans="2:11">
      <c r="B83" s="5">
        <v>101</v>
      </c>
      <c r="C83" s="50">
        <v>134.17800465863434</v>
      </c>
      <c r="D83" s="6">
        <v>21.061434236730111</v>
      </c>
      <c r="E83" s="6">
        <v>16.478577353905742</v>
      </c>
      <c r="F83" s="50">
        <v>18.770005795317928</v>
      </c>
      <c r="G83" s="50"/>
      <c r="H83" s="6"/>
      <c r="I83" s="52">
        <v>0.75273142015307704</v>
      </c>
      <c r="J83" s="51">
        <f t="shared" si="18"/>
        <v>76.445553150423791</v>
      </c>
      <c r="K83" s="6">
        <f t="shared" si="19"/>
        <v>76.41683744260682</v>
      </c>
    </row>
    <row r="84" spans="2:11">
      <c r="B84" s="5">
        <v>102</v>
      </c>
      <c r="C84" s="50">
        <v>135.34872719765769</v>
      </c>
      <c r="D84" s="6">
        <v>21.27143024504899</v>
      </c>
      <c r="E84" s="6">
        <v>16.572406837111849</v>
      </c>
      <c r="F84" s="50">
        <v>18.921918541080419</v>
      </c>
      <c r="G84" s="50"/>
      <c r="H84" s="6"/>
      <c r="I84" s="52">
        <v>0.7536088599565729</v>
      </c>
      <c r="J84" s="51">
        <f t="shared" si="18"/>
        <v>76.534663780508566</v>
      </c>
      <c r="K84" s="6">
        <f t="shared" si="19"/>
        <v>76.505914599523948</v>
      </c>
    </row>
    <row r="85" spans="2:11">
      <c r="B85" s="5">
        <v>103</v>
      </c>
      <c r="C85" s="50">
        <v>136.51672672221434</v>
      </c>
      <c r="D85" s="6">
        <v>21.481440665583278</v>
      </c>
      <c r="E85" s="6">
        <v>16.665847360865602</v>
      </c>
      <c r="F85" s="50">
        <v>19.073644013224438</v>
      </c>
      <c r="G85" s="50"/>
      <c r="H85" s="6"/>
      <c r="I85" s="52">
        <v>0.75448629976006876</v>
      </c>
      <c r="J85" s="51">
        <f t="shared" si="18"/>
        <v>76.623774410593327</v>
      </c>
      <c r="K85" s="6">
        <f t="shared" si="19"/>
        <v>76.594991756441047</v>
      </c>
    </row>
    <row r="86" spans="2:11">
      <c r="B86" s="5">
        <v>104</v>
      </c>
      <c r="C86" s="50">
        <v>137.68201272156554</v>
      </c>
      <c r="D86" s="6">
        <v>21.69146535937886</v>
      </c>
      <c r="E86" s="6">
        <v>16.758904290619089</v>
      </c>
      <c r="F86" s="50">
        <v>19.225184824998976</v>
      </c>
      <c r="G86" s="50"/>
      <c r="H86" s="6"/>
      <c r="I86" s="52">
        <v>0.75536373956356451</v>
      </c>
      <c r="J86" s="51">
        <f t="shared" si="18"/>
        <v>76.712885040678074</v>
      </c>
      <c r="K86" s="6">
        <f t="shared" si="19"/>
        <v>76.684068913358146</v>
      </c>
    </row>
    <row r="87" spans="2:11">
      <c r="B87" s="5">
        <v>105</v>
      </c>
      <c r="C87" s="50">
        <v>138.84459464093223</v>
      </c>
      <c r="D87" s="6">
        <v>21.901504190144763</v>
      </c>
      <c r="E87" s="6">
        <v>16.851582867032572</v>
      </c>
      <c r="F87" s="50">
        <v>19.37654352858867</v>
      </c>
      <c r="G87" s="50"/>
      <c r="H87" s="6"/>
      <c r="I87" s="52">
        <v>0.75624117936706026</v>
      </c>
      <c r="J87" s="51">
        <f t="shared" si="18"/>
        <v>76.801995670762835</v>
      </c>
      <c r="K87" s="6">
        <f t="shared" si="19"/>
        <v>76.77314607027526</v>
      </c>
    </row>
    <row r="88" spans="2:11">
      <c r="B88" s="5">
        <v>106</v>
      </c>
      <c r="C88" s="50">
        <v>140.00448188175039</v>
      </c>
      <c r="D88" s="6">
        <v>22.111557024177106</v>
      </c>
      <c r="E88" s="6">
        <v>16.943888210035503</v>
      </c>
      <c r="F88" s="50">
        <v>19.527722617106306</v>
      </c>
      <c r="G88" s="50"/>
      <c r="H88" s="6"/>
      <c r="I88" s="52">
        <v>0.75711861917055612</v>
      </c>
      <c r="J88" s="51">
        <f t="shared" si="18"/>
        <v>76.891106300847596</v>
      </c>
      <c r="K88" s="6">
        <f t="shared" si="19"/>
        <v>76.862223227192359</v>
      </c>
    </row>
    <row r="89" spans="2:11">
      <c r="B89" s="5">
        <v>107</v>
      </c>
      <c r="C89" s="50">
        <v>141.16168380192445</v>
      </c>
      <c r="D89" s="6">
        <v>22.321623730286092</v>
      </c>
      <c r="E89" s="6">
        <v>17.035825322718448</v>
      </c>
      <c r="F89" s="50">
        <v>19.678724526502272</v>
      </c>
      <c r="G89" s="50"/>
      <c r="H89" s="6"/>
      <c r="I89" s="52">
        <v>0.75799605897405198</v>
      </c>
      <c r="J89" s="51">
        <f t="shared" si="18"/>
        <v>76.980216930932372</v>
      </c>
      <c r="K89" s="6">
        <f t="shared" si="19"/>
        <v>76.951300384109487</v>
      </c>
    </row>
    <row r="90" spans="2:11">
      <c r="B90" s="5">
        <v>108</v>
      </c>
      <c r="C90" s="50">
        <v>142.31620971607887</v>
      </c>
      <c r="D90" s="6">
        <v>22.531704179725708</v>
      </c>
      <c r="E90" s="6">
        <v>17.127399095064437</v>
      </c>
      <c r="F90" s="50">
        <v>19.82955163739507</v>
      </c>
      <c r="G90" s="50"/>
      <c r="H90" s="6"/>
      <c r="I90" s="52">
        <v>0.75887349877754773</v>
      </c>
      <c r="J90" s="51">
        <f t="shared" si="18"/>
        <v>77.069327561017118</v>
      </c>
      <c r="K90" s="6">
        <f t="shared" si="19"/>
        <v>77.040377541026587</v>
      </c>
    </row>
    <row r="91" spans="2:11">
      <c r="B91" s="5">
        <v>109</v>
      </c>
      <c r="C91" s="50">
        <v>143.46806889580807</v>
      </c>
      <c r="D91" s="6">
        <v>22.741798246125917</v>
      </c>
      <c r="E91" s="6">
        <v>17.218614307527691</v>
      </c>
      <c r="F91" s="50">
        <v>19.980206276826806</v>
      </c>
      <c r="G91" s="50"/>
      <c r="H91" s="6"/>
      <c r="I91" s="52">
        <v>0.75975093858104359</v>
      </c>
      <c r="J91" s="51">
        <f t="shared" si="18"/>
        <v>77.15843819110188</v>
      </c>
      <c r="K91" s="6">
        <f t="shared" si="19"/>
        <v>77.129454697943686</v>
      </c>
    </row>
    <row r="92" spans="2:11">
      <c r="B92" s="5">
        <v>110</v>
      </c>
      <c r="C92" s="50">
        <v>144.61727056992473</v>
      </c>
      <c r="D92" s="6">
        <v>22.951905805427518</v>
      </c>
      <c r="E92" s="6">
        <v>17.309475634467464</v>
      </c>
      <c r="F92" s="50">
        <v>20.130690719947491</v>
      </c>
      <c r="G92" s="50"/>
      <c r="H92" s="6"/>
      <c r="I92" s="52">
        <v>0.76062837838453934</v>
      </c>
      <c r="J92" s="51">
        <f t="shared" si="18"/>
        <v>77.247548821186641</v>
      </c>
      <c r="K92" s="6">
        <f t="shared" si="19"/>
        <v>77.2185318548608</v>
      </c>
    </row>
    <row r="93" spans="2:11">
      <c r="B93" s="5">
        <v>111</v>
      </c>
      <c r="C93" s="50">
        <v>145.76382392470609</v>
      </c>
      <c r="D93" s="6">
        <v>23.162026735819119</v>
      </c>
      <c r="E93" s="6">
        <v>17.399987647444007</v>
      </c>
      <c r="F93" s="50">
        <v>20.281007191631563</v>
      </c>
      <c r="G93" s="50"/>
      <c r="H93" s="6"/>
      <c r="I93" s="52">
        <v>0.7615058181880352</v>
      </c>
      <c r="J93" s="51">
        <f t="shared" si="18"/>
        <v>77.336659451271402</v>
      </c>
      <c r="K93" s="6">
        <f t="shared" si="19"/>
        <v>77.307609011777899</v>
      </c>
    </row>
    <row r="94" spans="2:11">
      <c r="B94" s="5">
        <v>112</v>
      </c>
      <c r="C94" s="50">
        <v>146.9077381041389</v>
      </c>
      <c r="D94" s="6">
        <v>23.372160917676677</v>
      </c>
      <c r="E94" s="6">
        <v>17.49015481838342</v>
      </c>
      <c r="F94" s="50">
        <v>20.431157868030049</v>
      </c>
      <c r="G94" s="50"/>
      <c r="H94" s="6"/>
      <c r="I94" s="52">
        <v>0.76238325799153106</v>
      </c>
      <c r="J94" s="51">
        <f t="shared" si="18"/>
        <v>77.425770081356163</v>
      </c>
      <c r="K94" s="6">
        <f t="shared" si="19"/>
        <v>77.396686168695012</v>
      </c>
    </row>
    <row r="95" spans="2:11">
      <c r="B95" s="5">
        <v>113</v>
      </c>
      <c r="C95" s="50">
        <v>148.04902221016243</v>
      </c>
      <c r="D95" s="6">
        <v>23.582308233504943</v>
      </c>
      <c r="E95" s="6">
        <v>17.579981522617746</v>
      </c>
      <c r="F95" s="50">
        <v>20.581144878061345</v>
      </c>
      <c r="G95" s="50"/>
      <c r="H95" s="6"/>
      <c r="I95" s="52">
        <v>0.76326069779502681</v>
      </c>
      <c r="J95" s="51">
        <f t="shared" si="18"/>
        <v>77.51488071144091</v>
      </c>
      <c r="K95" s="6">
        <f t="shared" si="19"/>
        <v>77.485763325612112</v>
      </c>
    </row>
    <row r="96" spans="2:11">
      <c r="B96" s="5">
        <v>114</v>
      </c>
      <c r="C96" s="50">
        <v>149.18768530290981</v>
      </c>
      <c r="D96" s="6">
        <v>23.792468567881055</v>
      </c>
      <c r="E96" s="6">
        <v>17.66947204180623</v>
      </c>
      <c r="F96" s="50">
        <v>20.730970304843645</v>
      </c>
      <c r="G96" s="50"/>
      <c r="H96" s="6"/>
      <c r="I96" s="52">
        <v>0.76413813759852267</v>
      </c>
      <c r="J96" s="51">
        <f t="shared" si="18"/>
        <v>77.603991341525685</v>
      </c>
      <c r="K96" s="6">
        <f t="shared" si="19"/>
        <v>77.574840482529225</v>
      </c>
    </row>
    <row r="97" spans="2:11">
      <c r="B97" s="5">
        <v>115</v>
      </c>
      <c r="C97" s="50">
        <v>150.32373640094792</v>
      </c>
      <c r="D97" s="6">
        <v>24.002641807400256</v>
      </c>
      <c r="E97" s="6">
        <v>17.758630566743491</v>
      </c>
      <c r="F97" s="50">
        <v>20.880636187071872</v>
      </c>
      <c r="G97" s="50"/>
      <c r="H97" s="6"/>
      <c r="I97" s="52">
        <v>0.76501557740201842</v>
      </c>
      <c r="J97" s="51">
        <f t="shared" si="18"/>
        <v>77.693101971610432</v>
      </c>
      <c r="K97" s="6">
        <f t="shared" si="19"/>
        <v>77.663917639446325</v>
      </c>
    </row>
    <row r="98" spans="2:11">
      <c r="B98" s="5">
        <v>116</v>
      </c>
      <c r="C98" s="50">
        <v>151.45718448151536</v>
      </c>
      <c r="D98" s="6">
        <v>24.212827840623181</v>
      </c>
      <c r="E98" s="6">
        <v>17.847461200059801</v>
      </c>
      <c r="F98" s="50">
        <v>21.030144520341491</v>
      </c>
      <c r="G98" s="50"/>
      <c r="H98" s="6"/>
      <c r="I98" s="52">
        <v>0.76589301720551428</v>
      </c>
      <c r="J98" s="51">
        <f t="shared" si="18"/>
        <v>77.782212601695193</v>
      </c>
      <c r="K98" s="6">
        <f t="shared" si="19"/>
        <v>77.752994796363438</v>
      </c>
    </row>
    <row r="99" spans="2:11">
      <c r="B99" s="5">
        <v>117</v>
      </c>
      <c r="C99" s="50">
        <v>152.58803848075902</v>
      </c>
      <c r="D99" s="6">
        <v>24.423026558025349</v>
      </c>
      <c r="E99" s="6">
        <v>17.935967958818601</v>
      </c>
      <c r="F99" s="50">
        <v>21.179497258421975</v>
      </c>
      <c r="G99" s="50"/>
      <c r="H99" s="6"/>
      <c r="I99" s="52">
        <v>0.76677045700901003</v>
      </c>
      <c r="J99" s="51">
        <f t="shared" si="18"/>
        <v>77.871323231779954</v>
      </c>
      <c r="K99" s="6">
        <f t="shared" si="19"/>
        <v>77.842071953280538</v>
      </c>
    </row>
    <row r="100" spans="2:11">
      <c r="B100" s="5">
        <v>118</v>
      </c>
      <c r="C100" s="50">
        <v>153.71630729396878</v>
      </c>
      <c r="D100" s="6">
        <v>24.633237851947925</v>
      </c>
      <c r="E100" s="6">
        <v>18.024154777015983</v>
      </c>
      <c r="F100" s="50">
        <v>21.328696314481952</v>
      </c>
      <c r="G100" s="50"/>
      <c r="H100" s="6"/>
      <c r="I100" s="52">
        <v>0.76764789681250589</v>
      </c>
      <c r="J100" s="51">
        <f t="shared" si="18"/>
        <v>77.960433861864715</v>
      </c>
      <c r="K100" s="6">
        <f t="shared" si="19"/>
        <v>77.931149110197651</v>
      </c>
    </row>
    <row r="101" spans="2:11">
      <c r="B101" s="5">
        <v>119</v>
      </c>
      <c r="C101" s="50">
        <v>154.84199977581099</v>
      </c>
      <c r="D101" s="6">
        <v>24.843461616550663</v>
      </c>
      <c r="E101" s="6">
        <v>18.112025507986587</v>
      </c>
      <c r="F101" s="50">
        <v>21.477743562268625</v>
      </c>
      <c r="G101" s="50"/>
      <c r="H101" s="6"/>
      <c r="I101" s="52">
        <v>0.76852533661600164</v>
      </c>
      <c r="J101" s="51">
        <f t="shared" si="18"/>
        <v>78.049544491949476</v>
      </c>
      <c r="K101" s="6">
        <f t="shared" si="19"/>
        <v>78.020226267114765</v>
      </c>
    </row>
    <row r="102" spans="2:11">
      <c r="B102" s="5">
        <v>120</v>
      </c>
      <c r="C102" s="50">
        <v>155.96512474055984</v>
      </c>
      <c r="D102" s="6">
        <v>25.053697747765945</v>
      </c>
      <c r="E102" s="6">
        <v>18.199583926720305</v>
      </c>
      <c r="F102" s="50">
        <v>21.626640837243123</v>
      </c>
      <c r="G102" s="50"/>
      <c r="H102" s="6"/>
      <c r="I102" s="52">
        <v>0.7694027764194975</v>
      </c>
      <c r="J102" s="51">
        <f t="shared" si="18"/>
        <v>78.138655122034237</v>
      </c>
      <c r="K102" s="6">
        <f t="shared" si="19"/>
        <v>78.109303424031864</v>
      </c>
    </row>
  </sheetData>
  <mergeCells count="6">
    <mergeCell ref="B47:E47"/>
    <mergeCell ref="A1:O1"/>
    <mergeCell ref="A2:A4"/>
    <mergeCell ref="J2:K3"/>
    <mergeCell ref="B46:E46"/>
    <mergeCell ref="B2: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73079-A560-004B-A120-67A5C485B3DD}">
  <sheetPr codeName="Sheet6">
    <tabColor rgb="FFFFFF00"/>
  </sheetPr>
  <dimension ref="A1:P102"/>
  <sheetViews>
    <sheetView workbookViewId="0">
      <selection activeCell="B34" sqref="B34"/>
    </sheetView>
  </sheetViews>
  <sheetFormatPr defaultColWidth="10.625" defaultRowHeight="15.75"/>
  <cols>
    <col min="1" max="1" width="71.125" bestFit="1" customWidth="1"/>
    <col min="2" max="2" width="11.125" customWidth="1"/>
    <col min="3" max="3" width="11.625" bestFit="1" customWidth="1"/>
    <col min="4" max="4" width="11" bestFit="1" customWidth="1"/>
    <col min="5" max="6" width="11.625" bestFit="1" customWidth="1"/>
    <col min="7" max="7" width="11.625" customWidth="1"/>
    <col min="10" max="10" width="32.125" customWidth="1"/>
    <col min="11" max="11" width="33.625" bestFit="1" customWidth="1"/>
    <col min="12" max="12" width="13.625" customWidth="1"/>
    <col min="13" max="14" width="14.125" bestFit="1" customWidth="1"/>
  </cols>
  <sheetData>
    <row r="1" spans="1:16" ht="21">
      <c r="A1" s="312" t="s">
        <v>27</v>
      </c>
      <c r="B1" s="312"/>
      <c r="C1" s="312"/>
      <c r="D1" s="312"/>
      <c r="E1" s="312"/>
      <c r="F1" s="312"/>
      <c r="G1" s="312"/>
      <c r="H1" s="312"/>
      <c r="I1" s="312"/>
      <c r="J1" s="312"/>
      <c r="K1" s="312"/>
      <c r="L1" s="312"/>
      <c r="M1" s="312"/>
      <c r="N1" s="312"/>
      <c r="O1" s="312"/>
    </row>
    <row r="2" spans="1:16">
      <c r="A2" s="313" t="s">
        <v>28</v>
      </c>
      <c r="B2" s="315" t="s">
        <v>29</v>
      </c>
      <c r="C2" s="315"/>
      <c r="D2" s="315"/>
      <c r="E2" s="315"/>
      <c r="F2" s="315"/>
      <c r="G2" s="315"/>
      <c r="H2" s="2"/>
      <c r="I2" s="2"/>
      <c r="J2" s="315" t="s">
        <v>30</v>
      </c>
      <c r="K2" s="315"/>
      <c r="L2" s="56"/>
      <c r="M2" s="2"/>
      <c r="N2" s="2"/>
      <c r="O2" s="2"/>
    </row>
    <row r="3" spans="1:16">
      <c r="A3" s="313"/>
      <c r="B3" s="315"/>
      <c r="C3" s="315"/>
      <c r="D3" s="315"/>
      <c r="E3" s="315"/>
      <c r="F3" s="315"/>
      <c r="G3" s="315"/>
      <c r="H3" s="2"/>
      <c r="I3" s="2"/>
      <c r="J3" s="315"/>
      <c r="K3" s="315"/>
      <c r="L3" s="56"/>
      <c r="M3" s="2"/>
      <c r="N3" s="2"/>
      <c r="O3" s="2"/>
    </row>
    <row r="4" spans="1:16">
      <c r="A4" s="313"/>
      <c r="B4" s="8">
        <v>1</v>
      </c>
      <c r="C4" s="8">
        <v>2</v>
      </c>
      <c r="D4" s="8">
        <v>3</v>
      </c>
      <c r="E4" s="8">
        <v>4</v>
      </c>
      <c r="F4" s="8">
        <v>5</v>
      </c>
      <c r="G4" s="8">
        <v>6</v>
      </c>
      <c r="H4" s="2"/>
      <c r="I4" s="2"/>
      <c r="J4" s="2" t="s">
        <v>28</v>
      </c>
      <c r="K4" s="2" t="s">
        <v>31</v>
      </c>
      <c r="L4" s="2">
        <v>2</v>
      </c>
      <c r="M4" s="2">
        <v>3</v>
      </c>
      <c r="N4" s="2">
        <v>4</v>
      </c>
      <c r="O4" s="2">
        <v>5</v>
      </c>
      <c r="P4" s="2">
        <v>6</v>
      </c>
    </row>
    <row r="5" spans="1:16">
      <c r="A5" t="s">
        <v>76</v>
      </c>
      <c r="B5" s="3">
        <f>'Finisher Model - NE Imperial'!C15</f>
        <v>50</v>
      </c>
      <c r="C5" s="3">
        <f>'Finisher Model - NE Imperial'!C16</f>
        <v>90</v>
      </c>
      <c r="D5" s="3">
        <f>'Finisher Model - NE Imperial'!C17</f>
        <v>130</v>
      </c>
      <c r="E5" s="3">
        <f>'Finisher Model - NE Imperial'!C18</f>
        <v>180</v>
      </c>
      <c r="F5" s="3">
        <f>'Finisher Model - NE Imperial'!C19</f>
        <v>230</v>
      </c>
      <c r="G5" s="3" t="str">
        <f>'Finisher Model - NE Imperial'!C20</f>
        <v/>
      </c>
      <c r="J5" s="122" t="s">
        <v>214</v>
      </c>
    </row>
    <row r="6" spans="1:16">
      <c r="A6" t="s">
        <v>77</v>
      </c>
      <c r="B6" s="3">
        <f>'Finisher Model - NE Imperial'!D15</f>
        <v>90</v>
      </c>
      <c r="C6" s="3">
        <f>'Finisher Model - NE Imperial'!D16</f>
        <v>130</v>
      </c>
      <c r="D6" s="3">
        <f>'Finisher Model - NE Imperial'!D17</f>
        <v>180</v>
      </c>
      <c r="E6" s="3">
        <f>'Finisher Model - NE Imperial'!D18</f>
        <v>230</v>
      </c>
      <c r="F6" s="3">
        <f>'Finisher Model - NE Imperial'!D19</f>
        <v>285</v>
      </c>
      <c r="G6" s="3">
        <f>'Finisher Model - NE Imperial'!D20</f>
        <v>0</v>
      </c>
      <c r="J6" t="s">
        <v>42</v>
      </c>
      <c r="K6" s="7">
        <f>IF('Finisher Model - NE Imperial'!$E$11=2,L6,IF('Finisher Model - NE Imperial'!$E$11=3,M6,IF('Finisher Model - NE Imperial'!$E$11=4,N6,IF('Finisher Model - NE Imperial'!$E$11=5,O6,IF('Finisher Model - NE Imperial'!$E$11=6,P6,"")))))</f>
        <v>2.1522205287412111</v>
      </c>
      <c r="L6" s="112">
        <f>((SUM($B$22:$C$22)/SUM(B16:C16)))</f>
        <v>2.151962550215814</v>
      </c>
      <c r="M6" s="112">
        <f>((SUM($B$22:$D$22)/SUM(B16:D16)))</f>
        <v>2.1520405409656451</v>
      </c>
      <c r="N6" s="112">
        <f>((SUM($B$22:$E$22)/SUM(B16:E16)))</f>
        <v>2.1519434525980832</v>
      </c>
      <c r="O6" s="112">
        <f>((SUM($B$22:$F$22)/SUM(B16:F16)))</f>
        <v>2.1522205287412111</v>
      </c>
      <c r="P6" s="112" t="e">
        <f>((SUM($B$22:$G$22)/SUM(B16:G16)))</f>
        <v>#VALUE!</v>
      </c>
    </row>
    <row r="7" spans="1:16">
      <c r="A7" t="s">
        <v>78</v>
      </c>
      <c r="B7" s="3">
        <f>B6-B5</f>
        <v>40</v>
      </c>
      <c r="C7" s="3">
        <f t="shared" ref="C7:G7" si="0">C6-C5</f>
        <v>40</v>
      </c>
      <c r="D7" s="3">
        <f t="shared" si="0"/>
        <v>50</v>
      </c>
      <c r="E7" s="3">
        <f t="shared" si="0"/>
        <v>50</v>
      </c>
      <c r="F7" s="3">
        <f t="shared" si="0"/>
        <v>55</v>
      </c>
      <c r="G7" s="3" t="e">
        <f t="shared" si="0"/>
        <v>#VALUE!</v>
      </c>
      <c r="J7" t="s">
        <v>43</v>
      </c>
      <c r="K7" s="112">
        <f>IF('Finisher Model - NE Imperial'!$E$11=2,L7,IF('Finisher Model - NE Imperial'!$E$11=3,M7,IF('Finisher Model - NE Imperial'!$E$11=4,N7,IF('Finisher Model - NE Imperial'!$E$11=5,O7,IF('Finisher Model - NE Imperial'!$E$11=6,P7,"")))))</f>
        <v>2.4899255068001693</v>
      </c>
      <c r="L7" s="112">
        <f>SUM($B$18:$C$18)/SUM($B$22:$C$22)</f>
        <v>1.9368870084930738</v>
      </c>
      <c r="M7" s="112">
        <f>SUM($B$18:$D$18)/SUM($B$22:$D$22)</f>
        <v>2.1152865240760081</v>
      </c>
      <c r="N7" s="112">
        <f>SUM($B$18:$E$18)/SUM($B$22:$E$22)</f>
        <v>2.2936860396589429</v>
      </c>
      <c r="O7" s="112">
        <f>SUM($B$18:$F$18)/SUM($B$22:$F$22)</f>
        <v>2.4899255068001693</v>
      </c>
      <c r="P7" s="112" t="e">
        <f>SUM($B$18:$G$18)/SUM($B$22:$G$22)</f>
        <v>#VALUE!</v>
      </c>
    </row>
    <row r="8" spans="1:16">
      <c r="A8" t="s">
        <v>32</v>
      </c>
      <c r="B8" s="4">
        <f>'Finisher Model - NE Imperial'!H14</f>
        <v>2513.2667999999999</v>
      </c>
      <c r="C8" s="4">
        <f>'Finisher Model - NE Imperial'!H15</f>
        <v>2469.1743999999999</v>
      </c>
      <c r="D8" s="4">
        <f>'Finisher Model - NE Imperial'!H16</f>
        <v>2491.2205999999996</v>
      </c>
      <c r="E8" s="4">
        <f>'Finisher Model - NE Imperial'!H17</f>
        <v>2513.2667999999999</v>
      </c>
      <c r="F8" s="4">
        <f>'Finisher Model - NE Imperial'!H18</f>
        <v>2513.2667999999999</v>
      </c>
      <c r="G8" s="4">
        <f>'Finisher Model - NE Imperial'!H19</f>
        <v>0</v>
      </c>
      <c r="J8" t="s">
        <v>44</v>
      </c>
      <c r="K8" s="106">
        <f>IF('Finisher Model - NE Imperial'!$E$11=2,L8,IF('Finisher Model - NE Imperial'!$E$11=3,M8,IF('Finisher Model - NE Imperial'!$E$11=4,N8,IF('Finisher Model - NE Imperial'!$E$11=5,O8,IF('Finisher Model - NE Imperial'!$E$11=6,P8,"")))))</f>
        <v>5.3588687907716892</v>
      </c>
      <c r="L8" s="112">
        <f>SUM(B18:C18)/SUM(B16:C16)</f>
        <v>4.1681083062766344</v>
      </c>
      <c r="M8" s="112">
        <f>SUM(B18:D18)/SUM(B16:D16)</f>
        <v>4.5521823555698715</v>
      </c>
      <c r="N8" s="112">
        <f>SUM(B18:E18)/SUM(B16:E16)</f>
        <v>4.9358826553596886</v>
      </c>
      <c r="O8" s="112">
        <f>SUM(B18:F18)/SUM(B16:F16)</f>
        <v>5.3588687907716892</v>
      </c>
      <c r="P8" s="112" t="e">
        <f>SUM(B18:G18)/SUM(B16:G16)</f>
        <v>#VALUE!</v>
      </c>
    </row>
    <row r="9" spans="1:16">
      <c r="A9" t="s">
        <v>33</v>
      </c>
      <c r="B9" s="5">
        <f>'Finisher Model - NE Imperial'!J15</f>
        <v>279.72000000000003</v>
      </c>
      <c r="C9" s="5">
        <f>'Finisher Model - NE Imperial'!J16</f>
        <v>263.02</v>
      </c>
      <c r="D9" s="5">
        <f>'Finisher Model - NE Imperial'!J17</f>
        <v>249.4</v>
      </c>
      <c r="E9" s="5">
        <f>'Finisher Model - NE Imperial'!J18</f>
        <v>238.86</v>
      </c>
      <c r="F9" s="5">
        <f>'Finisher Model - NE Imperial'!J19</f>
        <v>232.35</v>
      </c>
      <c r="G9" s="5">
        <f>'Finisher Model - NE Imperial'!J20</f>
        <v>0</v>
      </c>
      <c r="J9" s="17" t="s">
        <v>45</v>
      </c>
      <c r="K9" s="106">
        <f>IF('Finisher Model - NE Imperial'!$E$11=2,L9,IF('Finisher Model - NE Imperial'!$E$11=3,M9,IF('Finisher Model - NE Imperial'!$E$11=4,N9,IF('Finisher Model - NE Imperial'!$E$11=5,O9,IF('Finisher Model - NE Imperial'!$E$11=6,P9,"")))))</f>
        <v>109.18955416592304</v>
      </c>
      <c r="L9" s="113">
        <f>SUM(B16:C16)</f>
        <v>37.1753681270973</v>
      </c>
      <c r="M9" s="113">
        <f>SUM(B16:D16)</f>
        <v>60.407783926629705</v>
      </c>
      <c r="N9" s="113">
        <f>SUM(B16:E16)</f>
        <v>83.645320597380248</v>
      </c>
      <c r="O9" s="113">
        <f>SUM(B16:F16)</f>
        <v>109.18955416592304</v>
      </c>
      <c r="P9" s="113" t="e">
        <f>SUM(B16:G16)</f>
        <v>#VALUE!</v>
      </c>
    </row>
    <row r="10" spans="1:16">
      <c r="A10" t="s">
        <v>79</v>
      </c>
      <c r="B10" s="3">
        <f>AVERAGE(B5:B6)</f>
        <v>70</v>
      </c>
      <c r="C10" s="3">
        <f t="shared" ref="C10:E10" si="1">AVERAGE(C5:C6)</f>
        <v>110</v>
      </c>
      <c r="D10" s="3">
        <f t="shared" si="1"/>
        <v>155</v>
      </c>
      <c r="E10" s="3">
        <f t="shared" si="1"/>
        <v>205</v>
      </c>
      <c r="F10" s="3">
        <f>AVERAGE(F5:F6)</f>
        <v>257.5</v>
      </c>
      <c r="G10" s="3">
        <f>AVERAGE(G5:G6)</f>
        <v>0</v>
      </c>
      <c r="J10" s="17" t="s">
        <v>46</v>
      </c>
      <c r="K10" s="106">
        <f>IF('Finisher Model - NE Imperial'!$E$11=2,L10,IF('Finisher Model - NE Imperial'!$E$11=3,M10,IF('Finisher Model - NE Imperial'!$E$11=4,N10,IF('Finisher Model - NE Imperial'!$E$11=5,O10,IF('Finisher Model - NE Imperial'!$E$11=6,P10,"")))))</f>
        <v>585.13249409803984</v>
      </c>
      <c r="L10" s="113">
        <f>SUM(B18:C18)</f>
        <v>154.9509606794459</v>
      </c>
      <c r="M10" s="113">
        <f>SUM(B18:D18)</f>
        <v>274.98724812988104</v>
      </c>
      <c r="N10" s="113">
        <f>SUM(B18:E18)</f>
        <v>412.86348713860968</v>
      </c>
      <c r="O10" s="113">
        <f>SUM(B18:F18)</f>
        <v>585.13249409803984</v>
      </c>
      <c r="P10" s="113">
        <f>SUM(B18:G18)</f>
        <v>-73.652413398872341</v>
      </c>
    </row>
    <row r="11" spans="1:16">
      <c r="A11" t="s">
        <v>63</v>
      </c>
      <c r="B11" s="9">
        <f>IFERROR(651.36+531.33*'Finisher Model - NE Imperial'!Q17-216.9*('Finisher Model - NE Imperial'!Q17*'Finisher Model - NE Imperial'!Q17),"")</f>
        <v>975.5196680090196</v>
      </c>
      <c r="C11" s="9">
        <f>IFERROR(651.36+531.33*'Finisher Model - NE Imperial'!Q18-216.9*('Finisher Model - NE Imperial'!Q18*'Finisher Model - NE Imperial'!Q18),"")</f>
        <v>976.72869955818669</v>
      </c>
      <c r="D11" s="9">
        <f>IFERROR(651.36+531.33*'Finisher Model - NE Imperial'!Q19-216.9*('Finisher Model - NE Imperial'!Q19*'Finisher Model - NE Imperial'!Q19),"")</f>
        <v>976.21579330688758</v>
      </c>
      <c r="E11" s="9">
        <f>IFERROR(651.36+531.33*'Finisher Model - NE Imperial'!Q20-216.9*('Finisher Model - NE Imperial'!Q20*'Finisher Model - NE Imperial'!Q20),"")</f>
        <v>976.00066399135494</v>
      </c>
      <c r="F11" s="9">
        <f>IFERROR(651.36+531.33*'Finisher Model - NE Imperial'!Q21-216.9*('Finisher Model - NE Imperial'!Q21*'Finisher Model - NE Imperial'!Q21),"")</f>
        <v>976.65237343101762</v>
      </c>
      <c r="G11" s="9" t="str">
        <f>IFERROR(651.36+531.33*'Finisher Model - NE Imperial'!Q22-216.9*('Finisher Model - NE Imperial'!Q22*'Finisher Model - NE Imperial'!Q22),"")</f>
        <v/>
      </c>
      <c r="H11" s="23"/>
      <c r="J11" s="17" t="s">
        <v>47</v>
      </c>
      <c r="K11" s="106">
        <f>IF('Finisher Model - NE Imperial'!$E$11=2,L11,IF('Finisher Model - NE Imperial'!$E$11=3,M11,IF('Finisher Model - NE Imperial'!$E$11=4,N11,IF('Finisher Model - NE Imperial'!$E$11=5,O11,IF('Finisher Model - NE Imperial'!$E$11=6,P11,"")))))</f>
        <v>72.425288902620395</v>
      </c>
      <c r="L11" s="113">
        <f>SUM(B20:C20)</f>
        <v>20.976852749226857</v>
      </c>
      <c r="M11" s="113">
        <f>SUM(B20:D20)</f>
        <v>35.945377794296121</v>
      </c>
      <c r="N11" s="113">
        <f>SUM(B20:E20)</f>
        <v>52.411937019108585</v>
      </c>
      <c r="O11" s="113">
        <f>SUM(B20:F20)</f>
        <v>72.425288902620395</v>
      </c>
      <c r="P11" s="113">
        <f>SUM(B20:G20)</f>
        <v>72.425288902620395</v>
      </c>
    </row>
    <row r="12" spans="1:16" ht="16.5" thickBot="1">
      <c r="A12" t="s">
        <v>64</v>
      </c>
      <c r="B12" s="9">
        <f>IFERROR(338.34+108.98*'Finisher Model - NE Imperial'!Q17-46.7864*('Finisher Model - NE Imperial'!Q17*'Finisher Model - NE Imperial'!Q17),"")</f>
        <v>400.94175056824304</v>
      </c>
      <c r="C12" s="9">
        <f>IFERROR(338.34+108.98*'Finisher Model - NE Imperial'!Q18-46.7864*('Finisher Model - NE Imperial'!Q18*'Finisher Model - NE Imperial'!Q18),"")</f>
        <v>401.68768395345484</v>
      </c>
      <c r="D12" s="9">
        <f>IFERROR(338.34+108.98*'Finisher Model - NE Imperial'!Q19-46.7864*('Finisher Model - NE Imperial'!Q19*'Finisher Model - NE Imperial'!Q19),"")</f>
        <v>401.79699932418862</v>
      </c>
      <c r="E12" s="9">
        <f>IFERROR(338.34+108.98*'Finisher Model - NE Imperial'!Q20-46.7864*('Finisher Model - NE Imperial'!Q20*'Finisher Model - NE Imperial'!Q20),"")</f>
        <v>401.80196066786232</v>
      </c>
      <c r="F12" s="9">
        <f>IFERROR(338.34+108.98*'Finisher Model - NE Imperial'!Q21-46.7864*('Finisher Model - NE Imperial'!Q21*'Finisher Model - NE Imperial'!Q21),"")</f>
        <v>401.7324711651035</v>
      </c>
      <c r="G12" s="9" t="str">
        <f>IFERROR(338.34+108.98*'Finisher Model - NE Imperial'!Q22-46.7864*('Finisher Model - NE Imperial'!Q22*'Finisher Model - NE Imperial'!Q22),"")</f>
        <v/>
      </c>
      <c r="J12" s="1" t="s">
        <v>48</v>
      </c>
      <c r="K12" s="20">
        <f>IF('Finisher Model - NE Imperial'!$E$11=2,L12,IF('Finisher Model - NE Imperial'!$E$11=3,M12,IF('Finisher Model - NE Imperial'!$E$11=4,N12,IF('Finisher Model - NE Imperial'!$E$11=5,O12,IF('Finisher Model - NE Imperial'!$E$11=6,P12,"")))))</f>
        <v>85.528035402531145</v>
      </c>
      <c r="L12" s="114">
        <f>SUM(B26:C26)</f>
        <v>25.437896924478533</v>
      </c>
      <c r="M12" s="114">
        <f>SUM(B26:D26)</f>
        <v>43.194311865491684</v>
      </c>
      <c r="N12" s="114">
        <f>SUM(B26:E26)</f>
        <v>62.44937549079421</v>
      </c>
      <c r="O12" s="114">
        <f>SUM(B26:F26)</f>
        <v>85.528035402531145</v>
      </c>
      <c r="P12" s="114" t="e">
        <f>SUM(B26:G26)</f>
        <v>#VALUE!</v>
      </c>
    </row>
    <row r="13" spans="1:16">
      <c r="A13" t="s">
        <v>65</v>
      </c>
      <c r="B13" s="6">
        <f t="shared" ref="B13:G13" si="2">(B11/B12)*1000</f>
        <v>2433.0708054884385</v>
      </c>
      <c r="C13" s="6">
        <f t="shared" si="2"/>
        <v>2431.562476462097</v>
      </c>
      <c r="D13" s="6">
        <f t="shared" si="2"/>
        <v>2429.6243997562333</v>
      </c>
      <c r="E13" s="6">
        <f t="shared" si="2"/>
        <v>2429.0589880872608</v>
      </c>
      <c r="F13" s="6">
        <f t="shared" si="2"/>
        <v>2431.1014008863481</v>
      </c>
      <c r="G13" s="6" t="e">
        <f t="shared" si="2"/>
        <v>#VALUE!</v>
      </c>
      <c r="J13" t="s">
        <v>55</v>
      </c>
      <c r="K13" s="106">
        <f>IF('Finisher Model - NE Imperial'!$E$11=2,L13,IF('Finisher Model - NE Imperial'!$E$11=3,M13,IF('Finisher Model - NE Imperial'!$E$11=4,N13,IF('Finisher Model - NE Imperial'!$E$11=5,O13,IF('Finisher Model - NE Imperial'!$E$11=6,P13,"")))))</f>
        <v>570</v>
      </c>
      <c r="L13" s="112">
        <f>SUM(B22:C22,'Finisher Model - NE Imperial'!C15)*'Finisher Model - NE Imperial'!E7</f>
        <v>260</v>
      </c>
      <c r="M13" s="112">
        <f>SUM(B22:D22,'Finisher Model - NE Imperial'!C15)*'Finisher Model - NE Imperial'!E7</f>
        <v>360</v>
      </c>
      <c r="N13" s="112">
        <f>SUM(B22:E22,'Finisher Model - NE Imperial'!C15)*'Finisher Model - NE Imperial'!E7</f>
        <v>460</v>
      </c>
      <c r="O13" s="112">
        <f>SUM(B22:F22,'Finisher Model - NE Imperial'!C15)*'Finisher Model - NE Imperial'!E7</f>
        <v>570</v>
      </c>
      <c r="P13" s="112" t="e">
        <f>SUM(B22:G22,'Finisher Model - NE Imperial'!C15)*'Finisher Model - NE Imperial'!E7</f>
        <v>#VALUE!</v>
      </c>
    </row>
    <row r="14" spans="1:16">
      <c r="A14" t="s">
        <v>67</v>
      </c>
      <c r="B14" s="7">
        <f>B13/B11</f>
        <v>2.4941278841196488</v>
      </c>
      <c r="C14" s="7">
        <f t="shared" ref="C14:G14" si="3">C13/C11</f>
        <v>2.4894962926368289</v>
      </c>
      <c r="D14" s="7">
        <f t="shared" si="3"/>
        <v>2.4888189849151985</v>
      </c>
      <c r="E14" s="7">
        <f t="shared" si="3"/>
        <v>2.4887882536407542</v>
      </c>
      <c r="F14" s="7">
        <f t="shared" si="3"/>
        <v>2.4892187507268271</v>
      </c>
      <c r="G14" s="7" t="e">
        <f t="shared" si="3"/>
        <v>#VALUE!</v>
      </c>
      <c r="J14" s="17" t="s">
        <v>49</v>
      </c>
      <c r="K14" s="106">
        <f>IF('Finisher Model - NE Imperial'!$E$11=2,L14,IF('Finisher Model - NE Imperial'!$E$11=3,M14,IF('Finisher Model - NE Imperial'!$E$11=4,N14,IF('Finisher Model - NE Imperial'!$E$11=5,O14,IF('Finisher Model - NE Imperial'!$E$11=6,P14,"")))))</f>
        <v>497.57471109737958</v>
      </c>
      <c r="L14" s="113">
        <f>L13-L11</f>
        <v>239.02314725077315</v>
      </c>
      <c r="M14" s="113">
        <f>M13-M11</f>
        <v>324.05462220570388</v>
      </c>
      <c r="N14" s="113">
        <f t="shared" ref="N14:O14" si="4">N13-N11</f>
        <v>407.58806298089144</v>
      </c>
      <c r="O14" s="113">
        <f t="shared" si="4"/>
        <v>497.57471109737958</v>
      </c>
      <c r="P14" s="113" t="e">
        <f>P13-P11</f>
        <v>#VALUE!</v>
      </c>
    </row>
    <row r="15" spans="1:16" ht="16.5" thickBot="1">
      <c r="A15" t="s">
        <v>88</v>
      </c>
      <c r="B15" s="125">
        <f>IF('Finisher Model - NE Imperial'!E11=2,SUMPRODUCT(B14:C14,B16:C16)/SUM(B16:C16),IF('Finisher Model - NE Imperial'!E11=3,SUMPRODUCT(B14:D14,B16:D16)/SUM(B16:D16),IF('Finisher Model - NE Imperial'!E11=4,SUMPRODUCT(B14:E14,B16:E16)/SUM(B16:E16),IF('Finisher Model - NE Imperial'!E11=5,SUMPRODUCT(B14:F14,B16:F16)/SUM(B16:F16),IF('Finisher Model - NE Imperial'!E11=6,SUMPRODUCT(B14:G14,B16:G16)/SUM(B16:G16),"")))))</f>
        <v>2.4899255068001698</v>
      </c>
      <c r="C15" s="7"/>
      <c r="D15" s="7"/>
      <c r="E15" s="7"/>
      <c r="F15" s="7"/>
      <c r="G15" s="7"/>
      <c r="J15" s="1" t="s">
        <v>50</v>
      </c>
      <c r="K15" s="20">
        <f>IF('Finisher Model - NE Imperial'!$E$11=2,L15,IF('Finisher Model - NE Imperial'!$E$11=3,M15,IF('Finisher Model - NE Imperial'!$E$11=4,N15,IF('Finisher Model - NE Imperial'!$E$11=5,O15,IF('Finisher Model - NE Imperial'!$E$11=6,P15,"")))))</f>
        <v>484.47196459746885</v>
      </c>
      <c r="L15" s="114">
        <f>L13-L12</f>
        <v>234.56210307552146</v>
      </c>
      <c r="M15" s="114">
        <f>M13-M12</f>
        <v>316.80568813450833</v>
      </c>
      <c r="N15" s="114">
        <f t="shared" ref="N15:O15" si="5">N13-N12</f>
        <v>397.55062450920582</v>
      </c>
      <c r="O15" s="114">
        <f t="shared" si="5"/>
        <v>484.47196459746885</v>
      </c>
      <c r="P15" s="114" t="e">
        <f>P13-P12</f>
        <v>#VALUE!</v>
      </c>
    </row>
    <row r="16" spans="1:16">
      <c r="A16" s="115" t="s">
        <v>192</v>
      </c>
      <c r="B16" s="116">
        <f t="shared" ref="B16:G16" si="6">((B6-B5)/2.2046)/(B11/1000)</f>
        <v>18.599195455660499</v>
      </c>
      <c r="C16" s="116">
        <f t="shared" si="6"/>
        <v>18.576172671436805</v>
      </c>
      <c r="D16" s="116">
        <f t="shared" si="6"/>
        <v>23.232415799532404</v>
      </c>
      <c r="E16" s="116">
        <f t="shared" si="6"/>
        <v>23.237536670750547</v>
      </c>
      <c r="F16" s="116">
        <f t="shared" si="6"/>
        <v>25.544233568542793</v>
      </c>
      <c r="G16" s="116" t="e">
        <f t="shared" si="6"/>
        <v>#VALUE!</v>
      </c>
      <c r="H16" s="11">
        <f>IF('Finisher Model - NE Imperial'!E11=2,SUM(B16:C16),IF('Finisher Model - NE Imperial'!E11=3,SUM(B16:D16),IF('Finisher Model - NE Imperial'!E11=4,SUM(B16:E16),IF('Finisher Model - NE Imperial'!E11=5,SUM(B16:F16),IF('Finisher Model - NE Imperial'!E11=6,SUM(B16:G16),"")))))</f>
        <v>109.18955416592304</v>
      </c>
      <c r="J16" s="121" t="s">
        <v>215</v>
      </c>
    </row>
    <row r="17" spans="1:16">
      <c r="A17" s="26" t="s">
        <v>193</v>
      </c>
      <c r="B17" s="25">
        <f>((B6-B5)/2.2046)/(B11/1000)</f>
        <v>18.599195455660499</v>
      </c>
      <c r="C17" s="25">
        <f>((IF('Finisher Model - NE Imperial'!E11=2,$B$35-C5,C6-C5))/2.2046)/(C11/1000)</f>
        <v>18.576172671436805</v>
      </c>
      <c r="D17" s="25">
        <f>((IF('Finisher Model - NE Imperial'!E11=3,$B$35-D5,D6-D5))/2.2046)/(D11/1000)</f>
        <v>23.232415799532404</v>
      </c>
      <c r="E17" s="25">
        <f>((IF('Finisher Model - NE Imperial'!E11=4,$B$35-E5,E6-E5))/2.2046)/(E11/1000)</f>
        <v>23.237536670750547</v>
      </c>
      <c r="F17" s="25">
        <f>((IF('Finisher Model - NE Imperial'!E11=5,$B$35-F5,F6-F5))/2.2046)/(F11/1000)</f>
        <v>25.544233568542793</v>
      </c>
      <c r="G17" s="25" t="e">
        <f>((IF('Finisher Model - NE Imperial'!E11=6,$B$35-G5,G6-G5))/2.2046)/(G11/1000)</f>
        <v>#VALUE!</v>
      </c>
      <c r="H17" s="11">
        <f>IF('Finisher Model - NE Imperial'!E11=2,SUM(B17:C17),IF('Finisher Model - NE Imperial'!E11=3,SUM(B17:D17),IF('Finisher Model - NE Imperial'!E11=4,SUM(B17:E17),IF('Finisher Model - NE Imperial'!E11=5,SUM(B17:F17),IF('Finisher Model - NE Imperial'!E11=6,SUM(B17:G17),"")))))</f>
        <v>109.18955416592304</v>
      </c>
      <c r="J17" t="s">
        <v>42</v>
      </c>
      <c r="K17" s="106">
        <f>IF('Finisher Model - NE Imperial'!$E$11=2,L17,IF('Finisher Model - NE Imperial'!$E$11=3,M17,IF('Finisher Model - NE Imperial'!$E$11=4,N17,IF('Finisher Model - NE Imperial'!$E$11=5,O17,IF('Finisher Model - NE Imperial'!$E$11=6,P17,"")))))</f>
        <v>2.1522205287412111</v>
      </c>
      <c r="L17" s="112">
        <f>((SUM($B$23:$C$23)/SUM(B17:C17)))</f>
        <v>2.151962550215814</v>
      </c>
      <c r="M17" s="112">
        <f>((SUM($B$23:$D$23)/SUM(B17:D17)))</f>
        <v>2.1520405409656451</v>
      </c>
      <c r="N17" s="112">
        <f>((SUM($B$23:$E$23)/SUM(B17:E17)))</f>
        <v>2.1519434525980832</v>
      </c>
      <c r="O17" s="112">
        <f>((SUM($B$23:$F$23)/SUM(B17:F17)))</f>
        <v>2.1522205287412111</v>
      </c>
      <c r="P17" s="112" t="e">
        <f>((SUM($B$23:$G$23)/SUM(B17:G17)))</f>
        <v>#VALUE!</v>
      </c>
    </row>
    <row r="18" spans="1:16">
      <c r="A18" s="115" t="s">
        <v>199</v>
      </c>
      <c r="B18" s="116">
        <f>D53</f>
        <v>71.766695841069037</v>
      </c>
      <c r="C18" s="116">
        <f>D54</f>
        <v>83.184264838376862</v>
      </c>
      <c r="D18" s="116">
        <f>D55</f>
        <v>120.03628745043514</v>
      </c>
      <c r="E18" s="116">
        <f>D56</f>
        <v>137.87623900872865</v>
      </c>
      <c r="F18" s="116">
        <f>D57</f>
        <v>172.26900695943021</v>
      </c>
      <c r="G18" s="116">
        <f>D58</f>
        <v>-658.78490749691218</v>
      </c>
      <c r="H18" s="11"/>
      <c r="J18" t="s">
        <v>43</v>
      </c>
      <c r="K18" s="112">
        <f>IF('Finisher Model - NE Imperial'!$E$11=2,L18,IF('Finisher Model - NE Imperial'!$E$11=3,M18,IF('Finisher Model - NE Imperial'!$E$11=4,N18,IF('Finisher Model - NE Imperial'!$E$11=5,O18,IF('Finisher Model - NE Imperial'!$E$11=6,P18,"")))))</f>
        <v>2.4899255068001693</v>
      </c>
      <c r="L18" s="112">
        <f>SUM($B$19:$C$19)/SUM($B$23:$C$23)</f>
        <v>1.9368870084930738</v>
      </c>
      <c r="M18" s="112">
        <f>SUM($B$19:$D$19)/SUM($B$23:$D$23)</f>
        <v>2.1152865240760081</v>
      </c>
      <c r="N18" s="112">
        <f>SUM($B$19:$E$19)/SUM($B$23:$E$23)</f>
        <v>2.2936860396589429</v>
      </c>
      <c r="O18" s="112">
        <f>SUM($B$19:$F$19)/SUM($B$23:$F$23)</f>
        <v>2.4899255068001693</v>
      </c>
      <c r="P18" s="112" t="e">
        <f>SUM($B$19:$G$19)/SUM($B$23:$G$23)</f>
        <v>#VALUE!</v>
      </c>
    </row>
    <row r="19" spans="1:16">
      <c r="A19" s="26" t="s">
        <v>205</v>
      </c>
      <c r="B19" s="25">
        <f>I53</f>
        <v>71.766695841069037</v>
      </c>
      <c r="C19" s="25">
        <f>I54</f>
        <v>83.184264838376862</v>
      </c>
      <c r="D19" s="25">
        <f>I55</f>
        <v>120.03628745043514</v>
      </c>
      <c r="E19" s="25">
        <f>I56</f>
        <v>137.87623900872865</v>
      </c>
      <c r="F19" s="25">
        <f>I57</f>
        <v>172.26900695943021</v>
      </c>
      <c r="G19" s="25">
        <f>I58</f>
        <v>-658.78490749691218</v>
      </c>
      <c r="J19" t="s">
        <v>44</v>
      </c>
      <c r="K19" s="106">
        <f>IF('Finisher Model - NE Imperial'!$E$11=2,L19,IF('Finisher Model - NE Imperial'!$E$11=3,M19,IF('Finisher Model - NE Imperial'!$E$11=4,N19,IF('Finisher Model - NE Imperial'!$E$11=5,O19,IF('Finisher Model - NE Imperial'!$E$11=6,P19,"")))))</f>
        <v>5.3588687907716892</v>
      </c>
      <c r="L19" s="112">
        <f>SUM(B19:C19)/SUM(B17:C17)</f>
        <v>4.1681083062766344</v>
      </c>
      <c r="M19" s="112">
        <f>SUM(B19:D19)/SUM(B17:D17)</f>
        <v>4.5521823555698715</v>
      </c>
      <c r="N19" s="112">
        <f>SUM(B19:E19)/SUM(B17:E17)</f>
        <v>4.9358826553596886</v>
      </c>
      <c r="O19" s="112">
        <f>SUM(B19:F19)/SUM(B17:F17)</f>
        <v>5.3588687907716892</v>
      </c>
      <c r="P19" s="112" t="e">
        <f>SUM(B19:G19)/SUM(B17:G17)</f>
        <v>#VALUE!</v>
      </c>
    </row>
    <row r="20" spans="1:16">
      <c r="A20" s="115" t="s">
        <v>194</v>
      </c>
      <c r="B20" s="116">
        <f>(B18*(B9/2000))</f>
        <v>10.037290080331916</v>
      </c>
      <c r="C20" s="116">
        <f t="shared" ref="C20:G20" si="7">(C18*(C9/2000))</f>
        <v>10.93956266889494</v>
      </c>
      <c r="D20" s="116">
        <f t="shared" si="7"/>
        <v>14.968525045069262</v>
      </c>
      <c r="E20" s="116">
        <f t="shared" si="7"/>
        <v>16.466559224812464</v>
      </c>
      <c r="F20" s="116">
        <f t="shared" si="7"/>
        <v>20.013351883511806</v>
      </c>
      <c r="G20" s="116">
        <f t="shared" si="7"/>
        <v>0</v>
      </c>
      <c r="H20" s="11"/>
      <c r="J20" s="17" t="s">
        <v>45</v>
      </c>
      <c r="K20" s="106">
        <f>IF('Finisher Model - NE Imperial'!$E$11=2,L20,IF('Finisher Model - NE Imperial'!$E$11=3,M20,IF('Finisher Model - NE Imperial'!$E$11=4,N20,IF('Finisher Model - NE Imperial'!$E$11=5,O20,IF('Finisher Model - NE Imperial'!$E$11=6,P20,"")))))</f>
        <v>109.18955416592304</v>
      </c>
      <c r="L20" s="112">
        <f>SUM(B17:C17)</f>
        <v>37.1753681270973</v>
      </c>
      <c r="M20" s="112">
        <f>SUM(B17:D17)</f>
        <v>60.407783926629705</v>
      </c>
      <c r="N20" s="112">
        <f>SUM(B17:E17)</f>
        <v>83.645320597380248</v>
      </c>
      <c r="O20" s="112">
        <f>SUM(B17:F17)</f>
        <v>109.18955416592304</v>
      </c>
      <c r="P20" s="112" t="e">
        <f>SUM(B17:G17)</f>
        <v>#VALUE!</v>
      </c>
    </row>
    <row r="21" spans="1:16">
      <c r="A21" s="26" t="s">
        <v>206</v>
      </c>
      <c r="B21" s="25">
        <f>(B19*(B9/2000))</f>
        <v>10.037290080331916</v>
      </c>
      <c r="C21" s="25">
        <f t="shared" ref="C21:G21" si="8">(C19*(C9/2000))</f>
        <v>10.93956266889494</v>
      </c>
      <c r="D21" s="25">
        <f t="shared" si="8"/>
        <v>14.968525045069262</v>
      </c>
      <c r="E21" s="25">
        <f>(E19*(E9/2000))</f>
        <v>16.466559224812464</v>
      </c>
      <c r="F21" s="25">
        <f t="shared" si="8"/>
        <v>20.013351883511806</v>
      </c>
      <c r="G21" s="25">
        <f t="shared" si="8"/>
        <v>0</v>
      </c>
      <c r="J21" s="17" t="s">
        <v>46</v>
      </c>
      <c r="K21" s="106">
        <f>IF('Finisher Model - NE Imperial'!$E$11=2,L21,IF('Finisher Model - NE Imperial'!$E$11=3,M21,IF('Finisher Model - NE Imperial'!$E$11=4,N21,IF('Finisher Model - NE Imperial'!$E$11=5,O21,IF('Finisher Model - NE Imperial'!$E$11=6,P21,"")))))</f>
        <v>585.13249409803984</v>
      </c>
      <c r="L21" s="113">
        <f>SUM(B19:C19)</f>
        <v>154.9509606794459</v>
      </c>
      <c r="M21" s="113">
        <f>SUM(B19:D19)</f>
        <v>274.98724812988104</v>
      </c>
      <c r="N21" s="113">
        <f>SUM(B19:E19)</f>
        <v>412.86348713860968</v>
      </c>
      <c r="O21" s="113">
        <f>SUM(B19:F19)</f>
        <v>585.13249409803984</v>
      </c>
      <c r="P21" s="113">
        <f>SUM(B19:G19)</f>
        <v>-73.652413398872341</v>
      </c>
    </row>
    <row r="22" spans="1:16">
      <c r="A22" s="115" t="s">
        <v>195</v>
      </c>
      <c r="B22" s="116">
        <f t="shared" ref="B22:G22" si="9">B11/1000*B16*2.2046</f>
        <v>40</v>
      </c>
      <c r="C22" s="116">
        <f t="shared" si="9"/>
        <v>40</v>
      </c>
      <c r="D22" s="116">
        <f t="shared" si="9"/>
        <v>50</v>
      </c>
      <c r="E22" s="116">
        <f t="shared" si="9"/>
        <v>50</v>
      </c>
      <c r="F22" s="116">
        <f t="shared" si="9"/>
        <v>55</v>
      </c>
      <c r="G22" s="116" t="e">
        <f t="shared" si="9"/>
        <v>#VALUE!</v>
      </c>
      <c r="H22" s="6">
        <f>IF('Finisher Model - NE Imperial'!E11=2,SUM(B22:C22)+'Finisher Model - NE Imperial'!C15,IF('Finisher Model - NE Imperial'!E11=3,SUM(B22:D22)+'Finisher Model - NE Imperial'!C15,IF('Finisher Model - NE Imperial'!E11=4,SUM(B22:E22)+'Finisher Model - NE Imperial'!C15,IF('Finisher Model - NE Imperial'!E11=5,SUM(B22:F22)+'Finisher Model - NE Imperial'!C15,IF('Finisher Model - NE Imperial'!E11=6, SUM(B22:G22)+'Finisher Model - NE Imperial'!C15,"")))))</f>
        <v>285</v>
      </c>
      <c r="I22" s="6">
        <f>CONVERT(H22,"lbm","kg")</f>
        <v>129.27382545</v>
      </c>
      <c r="J22" s="17" t="s">
        <v>47</v>
      </c>
      <c r="K22" s="106">
        <f>IF('Finisher Model - NE Imperial'!$E$11=2,L22,IF('Finisher Model - NE Imperial'!$E$11=3,M22,IF('Finisher Model - NE Imperial'!$E$11=4,N22,IF('Finisher Model - NE Imperial'!$E$11=5,O22,IF('Finisher Model - NE Imperial'!$E$11=6,P22,"")))))</f>
        <v>72.425288902620395</v>
      </c>
      <c r="L22" s="113">
        <f>SUM(B21:C21)</f>
        <v>20.976852749226857</v>
      </c>
      <c r="M22" s="113">
        <f>SUM(B21:D21)</f>
        <v>35.945377794296121</v>
      </c>
      <c r="N22" s="113">
        <f>SUM(B21:E21)</f>
        <v>52.411937019108585</v>
      </c>
      <c r="O22" s="113">
        <f>SUM(B21:F21)</f>
        <v>72.425288902620395</v>
      </c>
      <c r="P22" s="113">
        <f>SUM(B21:G21)</f>
        <v>72.425288902620395</v>
      </c>
    </row>
    <row r="23" spans="1:16" ht="16.5" thickBot="1">
      <c r="A23" s="26" t="s">
        <v>207</v>
      </c>
      <c r="B23" s="25">
        <f>B11/1000*B17*2.2046</f>
        <v>40</v>
      </c>
      <c r="C23" s="25">
        <f t="shared" ref="C23:G23" si="10">C11/1000*C17*2.2046</f>
        <v>40</v>
      </c>
      <c r="D23" s="25">
        <f t="shared" si="10"/>
        <v>50</v>
      </c>
      <c r="E23" s="25">
        <f t="shared" si="10"/>
        <v>50</v>
      </c>
      <c r="F23" s="25">
        <f t="shared" si="10"/>
        <v>55</v>
      </c>
      <c r="G23" s="25" t="e">
        <f t="shared" si="10"/>
        <v>#VALUE!</v>
      </c>
      <c r="H23" s="6">
        <f>IF('Finisher Model - NE Imperial'!E11=2,SUM(B23:C23)+'Finisher Model - NE Imperial'!C15,IF('Finisher Model - NE Imperial'!E11=3,SUM(B23:D23)+'Finisher Model - NE Imperial'!C15,IF('Finisher Model - NE Imperial'!E11=4,SUM(B23:E23)+'Finisher Model - NE Imperial'!C15,IF('Finisher Model - NE Imperial'!E11=5,SUM(B23:F23)+'Finisher Model - NE Imperial'!C15,IF('Finisher Model - NE Imperial'!E11=6, SUM(B23:G23)+'Finisher Model - NE Imperial'!C15,"")))))</f>
        <v>285</v>
      </c>
      <c r="I23" s="6">
        <f>CONVERT(H23,"lbm","kg")</f>
        <v>129.27382545</v>
      </c>
      <c r="J23" s="1" t="s">
        <v>48</v>
      </c>
      <c r="K23" s="20">
        <f>IF('Finisher Model - NE Imperial'!$E$11=2,L23,IF('Finisher Model - NE Imperial'!$E$11=3,M23,IF('Finisher Model - NE Imperial'!$E$11=4,N23,IF('Finisher Model - NE Imperial'!$E$11=5,O23,IF('Finisher Model - NE Imperial'!$E$11=6,P23,"")))))</f>
        <v>85.528035402531145</v>
      </c>
      <c r="L23" s="114">
        <f>SUM(B27:C27)</f>
        <v>25.437896924478533</v>
      </c>
      <c r="M23" s="114">
        <f>SUM(B27:D27)</f>
        <v>43.194311865491684</v>
      </c>
      <c r="N23" s="114">
        <f>SUM(B27:E27)</f>
        <v>62.44937549079421</v>
      </c>
      <c r="O23" s="114">
        <f>SUM(B27:F27)</f>
        <v>85.528035402531145</v>
      </c>
      <c r="P23" s="114" t="e">
        <f>SUM(B27:G27)</f>
        <v>#VALUE!</v>
      </c>
    </row>
    <row r="24" spans="1:16">
      <c r="A24" s="115" t="s">
        <v>196</v>
      </c>
      <c r="B24" s="117">
        <f t="shared" ref="B24:G24" si="11">B20/((B11*0.00220462)*B16)</f>
        <v>0.25092997558649266</v>
      </c>
      <c r="C24" s="117">
        <f t="shared" si="11"/>
        <v>0.273486585668344</v>
      </c>
      <c r="D24" s="117">
        <f t="shared" si="11"/>
        <v>0.29936778505465517</v>
      </c>
      <c r="E24" s="117">
        <f t="shared" si="11"/>
        <v>0.3293281968504464</v>
      </c>
      <c r="F24" s="117">
        <f t="shared" si="11"/>
        <v>0.36387582409493896</v>
      </c>
      <c r="G24" s="117" t="e">
        <f t="shared" si="11"/>
        <v>#VALUE!</v>
      </c>
      <c r="H24" s="46"/>
      <c r="I24" s="29"/>
      <c r="J24" t="s">
        <v>56</v>
      </c>
      <c r="K24" s="106">
        <f>IF('Finisher Model - NE Imperial'!$E$11=2,L24,IF('Finisher Model - NE Imperial'!$E$11=3,M24,IF('Finisher Model - NE Imperial'!$E$11=4,N24,IF('Finisher Model - NE Imperial'!$E$11=5,O24,IF('Finisher Model - NE Imperial'!$E$11=6,P24,"")))))</f>
        <v>216.51863722536069</v>
      </c>
      <c r="L24" s="113">
        <f>$B$34*'Finisher Model - NE Imperial'!$E$8</f>
        <v>216.51863722536069</v>
      </c>
      <c r="M24" s="113">
        <f>$B$34*'Finisher Model - NE Imperial'!$E$8</f>
        <v>216.51863722536069</v>
      </c>
      <c r="N24" s="113">
        <f>$B$34*'Finisher Model - NE Imperial'!$E$8</f>
        <v>216.51863722536069</v>
      </c>
      <c r="O24" s="113">
        <f>$B$34*'Finisher Model - NE Imperial'!$E$8</f>
        <v>216.51863722536069</v>
      </c>
      <c r="P24" s="113">
        <f>$B$34*'Finisher Model - NE Imperial'!$E$8</f>
        <v>216.51863722536069</v>
      </c>
    </row>
    <row r="25" spans="1:16">
      <c r="A25" s="26" t="s">
        <v>208</v>
      </c>
      <c r="B25" s="110">
        <f>B21/((B11*0.00220462)*B17)</f>
        <v>0.25092997558649266</v>
      </c>
      <c r="C25" s="110">
        <f t="shared" ref="C25:G25" si="12">C21/((C11*0.00220462)*C17)</f>
        <v>0.273486585668344</v>
      </c>
      <c r="D25" s="110">
        <f t="shared" si="12"/>
        <v>0.29936778505465517</v>
      </c>
      <c r="E25" s="110">
        <f>E21/((E11*0.00220462)*E17)</f>
        <v>0.3293281968504464</v>
      </c>
      <c r="F25" s="110">
        <f t="shared" si="12"/>
        <v>0.36387582409493896</v>
      </c>
      <c r="G25" s="110" t="e">
        <f t="shared" si="12"/>
        <v>#VALUE!</v>
      </c>
      <c r="J25" s="17" t="s">
        <v>57</v>
      </c>
      <c r="K25" s="106">
        <f>IF('Finisher Model - NE Imperial'!$E$11=2,L25,IF('Finisher Model - NE Imperial'!$E$11=3,M25,IF('Finisher Model - NE Imperial'!$E$11=4,N25,IF('Finisher Model - NE Imperial'!$E$11=5,O25,IF('Finisher Model - NE Imperial'!$E$11=6,P25,"")))))</f>
        <v>144.0933483227403</v>
      </c>
      <c r="L25" s="113">
        <f>L24-L22</f>
        <v>195.54178447613384</v>
      </c>
      <c r="M25" s="113">
        <f t="shared" ref="M25:P25" si="13">M24-M22</f>
        <v>180.57325943106457</v>
      </c>
      <c r="N25" s="113">
        <f t="shared" si="13"/>
        <v>164.1067002062521</v>
      </c>
      <c r="O25" s="113">
        <f t="shared" si="13"/>
        <v>144.0933483227403</v>
      </c>
      <c r="P25" s="113">
        <f t="shared" si="13"/>
        <v>144.0933483227403</v>
      </c>
    </row>
    <row r="26" spans="1:16" ht="16.5" thickBot="1">
      <c r="A26" s="115" t="s">
        <v>197</v>
      </c>
      <c r="B26" s="117">
        <f>B20+(B16*'Finisher Model - NE Imperial'!$E$10)</f>
        <v>12.269193535011176</v>
      </c>
      <c r="C26" s="117">
        <f>C20+(C16*'Finisher Model - NE Imperial'!$E$10)</f>
        <v>13.168703389467357</v>
      </c>
      <c r="D26" s="117">
        <f>D20+(D16*'Finisher Model - NE Imperial'!$E$10)</f>
        <v>17.756414941013151</v>
      </c>
      <c r="E26" s="117">
        <f>E20+(E16*'Finisher Model - NE Imperial'!$E$10)</f>
        <v>19.25506362530253</v>
      </c>
      <c r="F26" s="117">
        <f>F20+(F16*'Finisher Model - NE Imperial'!$E$10)</f>
        <v>23.078659911736942</v>
      </c>
      <c r="G26" s="117" t="e">
        <f>G20+(G16*'Finisher Model - NE Imperial'!$E$10)</f>
        <v>#VALUE!</v>
      </c>
      <c r="H26" s="10"/>
      <c r="J26" s="1" t="s">
        <v>59</v>
      </c>
      <c r="K26" s="20">
        <f>IF('Finisher Model - NE Imperial'!$E$11=2,L26,IF('Finisher Model - NE Imperial'!$E$11=3,M26,IF('Finisher Model - NE Imperial'!$E$11=4,N26,IF('Finisher Model - NE Imperial'!$E$11=5,O26,IF('Finisher Model - NE Imperial'!$E$11=6,P26,"")))))</f>
        <v>130.99060182282955</v>
      </c>
      <c r="L26" s="114">
        <f>L24-L23</f>
        <v>191.08074030088216</v>
      </c>
      <c r="M26" s="114">
        <f t="shared" ref="M26:P26" si="14">M24-M23</f>
        <v>173.32432535986902</v>
      </c>
      <c r="N26" s="114">
        <f t="shared" si="14"/>
        <v>154.06926173456648</v>
      </c>
      <c r="O26" s="114">
        <f t="shared" si="14"/>
        <v>130.99060182282955</v>
      </c>
      <c r="P26" s="114" t="e">
        <f t="shared" si="14"/>
        <v>#VALUE!</v>
      </c>
    </row>
    <row r="27" spans="1:16">
      <c r="A27" s="26" t="s">
        <v>209</v>
      </c>
      <c r="B27" s="110">
        <f>B21+(B17*'Finisher Model - NE Imperial'!$E$10)</f>
        <v>12.269193535011176</v>
      </c>
      <c r="C27" s="110">
        <f>C21+(C17*'Finisher Model - NE Imperial'!$E$10)</f>
        <v>13.168703389467357</v>
      </c>
      <c r="D27" s="110">
        <f>D21+(D17*'Finisher Model - NE Imperial'!$E$10)</f>
        <v>17.756414941013151</v>
      </c>
      <c r="E27" s="110">
        <f>E21+(E17*'Finisher Model - NE Imperial'!$E$10)</f>
        <v>19.25506362530253</v>
      </c>
      <c r="F27" s="110">
        <f>F21+(F17*'Finisher Model - NE Imperial'!$E$10)</f>
        <v>23.078659911736942</v>
      </c>
      <c r="G27" s="110" t="e">
        <f>G21+(G17*'Finisher Model - NE Imperial'!$E$10)</f>
        <v>#VALUE!</v>
      </c>
    </row>
    <row r="28" spans="1:16">
      <c r="A28" s="115" t="s">
        <v>198</v>
      </c>
      <c r="B28" s="117">
        <f>B22*'Finisher Model - NE Imperial'!$E$7</f>
        <v>80</v>
      </c>
      <c r="C28" s="117">
        <f>C22*'Finisher Model - NE Imperial'!$E$7</f>
        <v>80</v>
      </c>
      <c r="D28" s="117">
        <f>D22*'Finisher Model - NE Imperial'!$E$7</f>
        <v>100</v>
      </c>
      <c r="E28" s="117">
        <f>E22*'Finisher Model - NE Imperial'!$E$7</f>
        <v>100</v>
      </c>
      <c r="F28" s="117">
        <f>F22*'Finisher Model - NE Imperial'!$E$7</f>
        <v>110</v>
      </c>
      <c r="G28" s="117" t="e">
        <f>G22*'Finisher Model - NE Imperial'!$E$7</f>
        <v>#VALUE!</v>
      </c>
    </row>
    <row r="29" spans="1:16">
      <c r="A29" s="26" t="s">
        <v>210</v>
      </c>
      <c r="B29" s="110">
        <f>$B$34*'Finisher Model - NE Imperial'!$E$8</f>
        <v>216.51863722536069</v>
      </c>
      <c r="C29" s="110">
        <f>$B$34*'Finisher Model - NE Imperial'!$E$8</f>
        <v>216.51863722536069</v>
      </c>
      <c r="D29" s="110">
        <f>$B$34*'Finisher Model - NE Imperial'!$E$8</f>
        <v>216.51863722536069</v>
      </c>
      <c r="E29" s="110">
        <f>$B$34*'Finisher Model - NE Imperial'!$E$8</f>
        <v>216.51863722536069</v>
      </c>
      <c r="F29" s="110">
        <f>$B$34*'Finisher Model - NE Imperial'!$E$8</f>
        <v>216.51863722536069</v>
      </c>
      <c r="G29" s="110">
        <f>$B$34*'Finisher Model - NE Imperial'!$E$8</f>
        <v>216.51863722536069</v>
      </c>
    </row>
    <row r="30" spans="1:16">
      <c r="A30" s="29" t="s">
        <v>211</v>
      </c>
      <c r="B30" s="111">
        <f t="shared" ref="B30:G30" si="15">B28-B20</f>
        <v>69.962709919668086</v>
      </c>
      <c r="C30" s="111">
        <f t="shared" si="15"/>
        <v>69.060437331105064</v>
      </c>
      <c r="D30" s="111">
        <f t="shared" si="15"/>
        <v>85.031474954930744</v>
      </c>
      <c r="E30" s="111">
        <f t="shared" si="15"/>
        <v>83.533440775187529</v>
      </c>
      <c r="F30" s="111">
        <f t="shared" si="15"/>
        <v>89.986648116488198</v>
      </c>
      <c r="G30" s="111" t="e">
        <f t="shared" si="15"/>
        <v>#VALUE!</v>
      </c>
    </row>
    <row r="31" spans="1:16">
      <c r="A31" t="s">
        <v>40</v>
      </c>
      <c r="B31" s="7">
        <f t="shared" ref="B31:G31" si="16">B28-B26</f>
        <v>67.730806464988831</v>
      </c>
      <c r="C31" s="7">
        <f t="shared" si="16"/>
        <v>66.831296610532647</v>
      </c>
      <c r="D31" s="7">
        <f t="shared" si="16"/>
        <v>82.243585058986852</v>
      </c>
      <c r="E31" s="7">
        <f t="shared" si="16"/>
        <v>80.744936374697474</v>
      </c>
      <c r="F31" s="7">
        <f t="shared" si="16"/>
        <v>86.921340088263065</v>
      </c>
      <c r="G31" s="7" t="e">
        <f t="shared" si="16"/>
        <v>#VALUE!</v>
      </c>
    </row>
    <row r="32" spans="1:16">
      <c r="A32" t="s">
        <v>90</v>
      </c>
      <c r="B32" s="7">
        <f>'Finisher Model - NE Imperial'!S17</f>
        <v>0.99106590262234673</v>
      </c>
      <c r="C32" s="7">
        <f>'Finisher Model - NE Imperial'!S18</f>
        <v>0.99909765999437017</v>
      </c>
      <c r="D32" s="7">
        <f>'Finisher Model - NE Imperial'!S19</f>
        <v>0.98145534358358266</v>
      </c>
      <c r="E32" s="7">
        <f>'Finisher Model - NE Imperial'!S20</f>
        <v>1.0137406723629696</v>
      </c>
      <c r="F32" s="7">
        <f>'Finisher Model - NE Imperial'!S21</f>
        <v>1.1101839646674505</v>
      </c>
      <c r="G32" s="7" t="str">
        <f>'Finisher Model - NE Imperial'!S22</f>
        <v/>
      </c>
    </row>
    <row r="33" spans="1:12">
      <c r="A33" t="s">
        <v>91</v>
      </c>
      <c r="B33" s="7">
        <f>SUMPRODUCT(B32,B18)/SUM(B18)</f>
        <v>0.99106590262234673</v>
      </c>
      <c r="C33" s="7">
        <f>SUMPRODUCT(B32:C32,B18:C18)/SUM(B18:C18)</f>
        <v>0.99537769152266942</v>
      </c>
      <c r="D33" s="7">
        <f>SUMPRODUCT(B32:D32,B18:D18)/SUM(B18:D18)</f>
        <v>0.98930036622643669</v>
      </c>
      <c r="E33" s="7">
        <f>SUMPRODUCT(B32:E32,B18:E18)/SUM(B18:E18)</f>
        <v>0.9974622347260742</v>
      </c>
      <c r="F33" s="7">
        <f>SUMPRODUCT(B32:F32,B18:F18)/SUM(B18:F18)</f>
        <v>1.0306486680136033</v>
      </c>
      <c r="G33" s="7">
        <f>SUMPRODUCT(B32:G32,B18:G18)/SUM(B18:G18)</f>
        <v>-8.1880008790432335</v>
      </c>
    </row>
    <row r="34" spans="1:12">
      <c r="A34" s="118" t="s">
        <v>212</v>
      </c>
      <c r="B34" s="119">
        <f>'Current Performance - NE '!B28</f>
        <v>216.51863722536069</v>
      </c>
    </row>
    <row r="35" spans="1:12">
      <c r="A35" s="118" t="s">
        <v>213</v>
      </c>
      <c r="B35" s="120">
        <f>B34/(IF('Finisher Model - NE Imperial'!E9&lt;76,'FW - Projected Performance - NE'!B44,'FW - Projected Performance - NE'!B45)/100)</f>
        <v>285</v>
      </c>
    </row>
    <row r="36" spans="1:12">
      <c r="A36" t="s">
        <v>177</v>
      </c>
      <c r="B36" s="6">
        <f>$H$23*IF('Finisher Model - NE Imperial'!$E$9&lt;76,'FW - Projected Performance - NE'!$B$44,'FW - Projected Performance - NE'!$B$45)/100</f>
        <v>216.51863722536069</v>
      </c>
      <c r="C36" s="6">
        <f>$H$23*IF('Finisher Model - NE Imperial'!$E$9&lt;76,'FW - Projected Performance - NE'!$B$44,'FW - Projected Performance - NE'!$B$45)/100</f>
        <v>216.51863722536069</v>
      </c>
      <c r="D36" s="6">
        <f>$H$23*IF('Finisher Model - NE Imperial'!$E$9&lt;76,'FW - Projected Performance - NE'!$B$44,'FW - Projected Performance - NE'!$B$45)/100</f>
        <v>216.51863722536069</v>
      </c>
      <c r="E36" s="6">
        <f>$H$23*IF('Finisher Model - NE Imperial'!$E$9&lt;76,'FW - Projected Performance - NE'!$B$44,'FW - Projected Performance - NE'!$B$45)/100</f>
        <v>216.51863722536069</v>
      </c>
      <c r="F36" s="6">
        <f>$H$23*IF('Finisher Model - NE Imperial'!$E$9&lt;76,'FW - Projected Performance - NE'!$B$44,'FW - Projected Performance - NE'!$B$45)/100</f>
        <v>216.51863722536069</v>
      </c>
      <c r="G36" s="6">
        <f>$H$23*IF('Finisher Model - NE Imperial'!$E$9&lt;76,'FW - Projected Performance - NE'!$B$44,'FW - Projected Performance - NE'!$B$45)/100</f>
        <v>216.51863722536069</v>
      </c>
    </row>
    <row r="37" spans="1:12">
      <c r="A37" t="s">
        <v>176</v>
      </c>
      <c r="B37" s="76">
        <f t="shared" ref="B37:G37" si="17">(VLOOKUP($I$22,$C$63:$I$102,7,TRUE))*100</f>
        <v>74.834422113559796</v>
      </c>
      <c r="C37" s="76">
        <f t="shared" si="17"/>
        <v>74.834422113559796</v>
      </c>
      <c r="D37" s="76">
        <f t="shared" si="17"/>
        <v>74.834422113559796</v>
      </c>
      <c r="E37" s="76">
        <f t="shared" si="17"/>
        <v>74.834422113559796</v>
      </c>
      <c r="F37" s="76">
        <f t="shared" si="17"/>
        <v>74.834422113559796</v>
      </c>
      <c r="G37" s="76">
        <f t="shared" si="17"/>
        <v>74.834422113559796</v>
      </c>
      <c r="J37" t="s">
        <v>166</v>
      </c>
      <c r="L37" s="24"/>
    </row>
    <row r="38" spans="1:12">
      <c r="A38" t="s">
        <v>107</v>
      </c>
      <c r="B38" s="3">
        <f>'Finisher Model - NE Imperial'!E9</f>
        <v>76</v>
      </c>
      <c r="C38" s="3"/>
      <c r="D38" s="3"/>
      <c r="E38" s="3"/>
      <c r="F38" s="3"/>
      <c r="G38" s="3"/>
      <c r="J38" t="s">
        <v>167</v>
      </c>
    </row>
    <row r="39" spans="1:12">
      <c r="A39" t="s">
        <v>108</v>
      </c>
      <c r="B39" s="54">
        <f>B38/B37</f>
        <v>1.0155754244306379</v>
      </c>
      <c r="C39" s="9"/>
      <c r="D39" s="9"/>
      <c r="E39" s="9"/>
      <c r="F39" s="9"/>
      <c r="G39" s="9"/>
    </row>
    <row r="40" spans="1:12">
      <c r="A40" t="s">
        <v>180</v>
      </c>
      <c r="B40" s="95">
        <f>'Finisher Model - NE Imperial'!Q17</f>
        <v>1.3002550714245924</v>
      </c>
      <c r="C40" s="95">
        <f>'Finisher Model - NE Imperial'!Q18</f>
        <v>1.2140923625717377</v>
      </c>
      <c r="D40" s="95">
        <f>'Finisher Model - NE Imperial'!Q19</f>
        <v>1.175028035038777</v>
      </c>
      <c r="E40" s="95">
        <f>'Finisher Model - NE Imperial'!Q20</f>
        <v>1.1659052610635772</v>
      </c>
      <c r="F40" s="54">
        <f>'Finisher Model - NE Imperial'!Q21</f>
        <v>1.2032139129427619</v>
      </c>
      <c r="G40" s="54" t="str">
        <f>'Finisher Model - NE Imperial'!Q22</f>
        <v/>
      </c>
      <c r="H40">
        <f>IF('Finisher Model - NE Imperial'!E11=2,SUMPRODUCT(B40:C40,B16:C16)/SUM(B16:C16),IF('Finisher Model - NE Imperial'!E11=3,SUMPRODUCT(B40:D40,B16:D16)/SUM(B16:D16),IF('Finisher Model - NE Imperial'!E11=4,SUMPRODUCT(B40:E40,B16:E16)/SUM(B16:E16),IF('Finisher Model - NE Imperial'!E11=5,SUMPRODUCT(B40:F40,B16:F16)/SUM(B16:F16),IF('Finisher Model - NE Imperial'!E11=6,SUMPRODUCT(B40:G40,B16:G16)/SUM(B16:G16),"")))))</f>
        <v>1.2076573804057424</v>
      </c>
      <c r="L40" s="24"/>
    </row>
    <row r="41" spans="1:12">
      <c r="A41" t="s">
        <v>179</v>
      </c>
      <c r="B41" s="93">
        <f>73.859-1.19192*H40</f>
        <v>72.419569015146777</v>
      </c>
      <c r="C41" s="9"/>
      <c r="D41" s="9"/>
      <c r="E41" s="9"/>
      <c r="F41" s="9"/>
      <c r="G41" s="9"/>
    </row>
    <row r="42" spans="1:12">
      <c r="A42" t="s">
        <v>171</v>
      </c>
      <c r="B42" s="93">
        <f>73.859-1.19192*1</f>
        <v>72.667079999999999</v>
      </c>
      <c r="C42" s="9"/>
      <c r="D42" s="9"/>
      <c r="E42" s="9"/>
      <c r="F42" s="9"/>
      <c r="G42" s="9"/>
    </row>
    <row r="43" spans="1:12">
      <c r="A43" t="s">
        <v>173</v>
      </c>
      <c r="B43" s="54">
        <f>B41/B42</f>
        <v>0.99659390490366173</v>
      </c>
      <c r="C43" s="9"/>
      <c r="D43" s="9"/>
      <c r="E43" s="9"/>
      <c r="F43" s="9"/>
      <c r="G43" s="9"/>
    </row>
    <row r="44" spans="1:12">
      <c r="A44" t="s">
        <v>174</v>
      </c>
      <c r="B44" s="261">
        <f>(VLOOKUP($I$22,$C$63:$K$102,9,TRUE))</f>
        <v>75.741136772678288</v>
      </c>
      <c r="C44" s="9"/>
      <c r="D44" s="9"/>
      <c r="E44" s="9"/>
      <c r="F44" s="9"/>
      <c r="G44" s="9"/>
    </row>
    <row r="45" spans="1:12">
      <c r="A45" t="s">
        <v>243</v>
      </c>
      <c r="B45" s="10">
        <f>'Current Performance - NE '!B36</f>
        <v>75.971451658021294</v>
      </c>
    </row>
    <row r="46" spans="1:12" ht="16.5" thickBot="1"/>
    <row r="47" spans="1:12" ht="16.5" thickBot="1">
      <c r="B47" s="309" t="s">
        <v>216</v>
      </c>
      <c r="C47" s="310"/>
      <c r="D47" s="310"/>
      <c r="E47" s="311"/>
      <c r="G47" s="309" t="s">
        <v>217</v>
      </c>
      <c r="H47" s="310"/>
      <c r="I47" s="310"/>
      <c r="J47" s="311"/>
    </row>
    <row r="48" spans="1:12" ht="16.5" thickBot="1">
      <c r="B48" s="309" t="s">
        <v>70</v>
      </c>
      <c r="C48" s="310"/>
      <c r="D48" s="310"/>
      <c r="E48" s="311"/>
      <c r="G48" s="309" t="s">
        <v>70</v>
      </c>
      <c r="H48" s="310"/>
      <c r="I48" s="310"/>
      <c r="J48" s="311"/>
    </row>
    <row r="49" spans="1:11" ht="16.5" thickBot="1">
      <c r="B49" s="39" t="s">
        <v>71</v>
      </c>
      <c r="C49" s="32" t="s">
        <v>72</v>
      </c>
      <c r="D49" s="39" t="s">
        <v>73</v>
      </c>
      <c r="E49" s="41"/>
      <c r="G49" s="39" t="s">
        <v>71</v>
      </c>
      <c r="H49" s="32" t="s">
        <v>72</v>
      </c>
      <c r="I49" s="39" t="s">
        <v>73</v>
      </c>
      <c r="J49" s="41"/>
    </row>
    <row r="50" spans="1:11" ht="16.5" thickBot="1">
      <c r="B50" s="40">
        <f>'Finisher Model - NE Imperial'!C15</f>
        <v>50</v>
      </c>
      <c r="C50" s="39">
        <f>IF('Finisher Model - NE Imperial'!$E$11=2,'Finisher Model - NE Imperial'!D16,IF('Finisher Model - NE Imperial'!$E$11=3,'Finisher Model - NE Imperial'!D17,IF('Finisher Model - NE Imperial'!$E$11=4,'Finisher Model - NE Imperial'!D18,IF('Finisher Model - NE Imperial'!$E$11=5,'Finisher Model - NE Imperial'!D19,IF('Finisher Model - NE Imperial'!$E$11=6,'Finisher Model - NE Imperial'!D20,"")))))</f>
        <v>285</v>
      </c>
      <c r="D50" s="45">
        <f>B15</f>
        <v>2.4899255068001698</v>
      </c>
      <c r="E50" s="41"/>
      <c r="G50" s="40">
        <f>'Finisher Model - NE Imperial'!C15</f>
        <v>50</v>
      </c>
      <c r="H50" s="97">
        <f>B35</f>
        <v>285</v>
      </c>
      <c r="I50" s="45">
        <f>B15</f>
        <v>2.4899255068001698</v>
      </c>
      <c r="J50" s="41"/>
    </row>
    <row r="51" spans="1:11">
      <c r="B51" s="35"/>
      <c r="C51" s="32"/>
      <c r="D51" s="32"/>
      <c r="E51" s="41"/>
      <c r="G51" s="35"/>
      <c r="H51" s="32"/>
      <c r="I51" s="32"/>
      <c r="J51" s="41"/>
    </row>
    <row r="52" spans="1:11">
      <c r="B52" s="35" t="s">
        <v>71</v>
      </c>
      <c r="C52" s="32" t="s">
        <v>72</v>
      </c>
      <c r="D52" s="42" t="s">
        <v>74</v>
      </c>
      <c r="E52" s="36">
        <f>IF(B53=0,F52,((0.00463*B53^2 + 1.68*B53 - 22.05)/(((0.00463*C50^2 + 1.68*C50 - 22.05)-(0.00463*B50^2 + 1.68*B50 - 22.05))/(C50-B50))*D50))</f>
        <v>56.660148523694318</v>
      </c>
      <c r="G52" s="35" t="s">
        <v>71</v>
      </c>
      <c r="H52" s="32" t="s">
        <v>72</v>
      </c>
      <c r="I52" s="42" t="s">
        <v>74</v>
      </c>
      <c r="J52" s="36">
        <f>IF(G53=0,F52,((0.00463*G53^2 + 1.68*G53 - 22.05)/(((0.00463*H50^2 + 1.68*H50 - 22.05)-(0.00463*G50^2 + 1.68*G50 - 22.05))/(H50-G50))*I50))</f>
        <v>56.660148523694318</v>
      </c>
    </row>
    <row r="53" spans="1:11" ht="18" customHeight="1">
      <c r="A53">
        <v>1</v>
      </c>
      <c r="B53" s="31">
        <f>'Finisher Model - NE Imperial'!C15</f>
        <v>50</v>
      </c>
      <c r="C53" s="37">
        <f>'Finisher Model - NE Imperial'!D15</f>
        <v>90</v>
      </c>
      <c r="D53" s="43">
        <f>IF(C53="","",(E53-E52))</f>
        <v>71.766695841069037</v>
      </c>
      <c r="E53" s="36">
        <f t="shared" ref="E53:E58" si="18">IF(B54="","",((0.00463*B54^2 + 1.68*B54 - 22.05)/(((0.00463*$C$50^2 + 1.68*$C$50 - 22.05)-(0.00463*$B$50^2 + 1.68*$B$50 - 22.05))/($C$50-$B$50))*$D$50))</f>
        <v>128.42684436476335</v>
      </c>
      <c r="G53" s="31">
        <f>'Finisher Model - NE Imperial'!C15</f>
        <v>50</v>
      </c>
      <c r="H53" s="37">
        <f>'Finisher Model - NE Imperial'!D15</f>
        <v>90</v>
      </c>
      <c r="I53" s="43">
        <f>IF(H53="","",(J53-J52))</f>
        <v>71.766695841069037</v>
      </c>
      <c r="J53" s="36">
        <f t="shared" ref="J53:J58" si="19">IF(G54="","",((0.00463*G54^2 + 1.68*G54 - 22.05)/(((0.00463*$C$50^2 + 1.68*$C$50 - 22.05)-(0.00463*$B$50^2 + 1.68*$B$50 - 22.05))/($C$50-$B$50))*$D$50))</f>
        <v>128.42684436476335</v>
      </c>
    </row>
    <row r="54" spans="1:11">
      <c r="A54">
        <v>2</v>
      </c>
      <c r="B54" s="31">
        <f>C53</f>
        <v>90</v>
      </c>
      <c r="C54" s="37">
        <f>'Finisher Model - NE Imperial'!D16</f>
        <v>130</v>
      </c>
      <c r="D54" s="43">
        <f t="shared" ref="D54:D57" si="20">IF(C54="","",(E54-E53))</f>
        <v>83.184264838376862</v>
      </c>
      <c r="E54" s="36">
        <f t="shared" si="18"/>
        <v>211.61110920314022</v>
      </c>
      <c r="G54" s="31">
        <f>H53</f>
        <v>90</v>
      </c>
      <c r="H54" s="37">
        <f>IF(AND('Finisher Model - NE Imperial'!E11=2,'Finisher Model - NE Imperial'!E6="Carcass"),B35,'Finisher Model - NE Imperial'!D16)</f>
        <v>130</v>
      </c>
      <c r="I54" s="43">
        <f t="shared" ref="I54:I57" si="21">IF(H54="","",(J54-J53))</f>
        <v>83.184264838376862</v>
      </c>
      <c r="J54" s="36">
        <f t="shared" si="19"/>
        <v>211.61110920314022</v>
      </c>
    </row>
    <row r="55" spans="1:11">
      <c r="A55">
        <v>3</v>
      </c>
      <c r="B55" s="31">
        <f>C54</f>
        <v>130</v>
      </c>
      <c r="C55" s="37">
        <f>'Finisher Model - NE Imperial'!D17</f>
        <v>180</v>
      </c>
      <c r="D55" s="43">
        <f t="shared" si="20"/>
        <v>120.03628745043514</v>
      </c>
      <c r="E55" s="36">
        <f t="shared" si="18"/>
        <v>331.64739665357536</v>
      </c>
      <c r="G55" s="31">
        <f>H54</f>
        <v>130</v>
      </c>
      <c r="H55" s="37">
        <f>IF(AND('Finisher Model - NE Imperial'!E11=3,'Finisher Model - NE Imperial'!E6="Carcass"),B36,'Finisher Model - NE Imperial'!D17)</f>
        <v>180</v>
      </c>
      <c r="I55" s="43">
        <f t="shared" si="21"/>
        <v>120.03628745043514</v>
      </c>
      <c r="J55" s="36">
        <f t="shared" si="19"/>
        <v>331.64739665357536</v>
      </c>
    </row>
    <row r="56" spans="1:11">
      <c r="A56">
        <v>4</v>
      </c>
      <c r="B56" s="35">
        <f>C55</f>
        <v>180</v>
      </c>
      <c r="C56" s="37">
        <f>'Finisher Model - NE Imperial'!D18</f>
        <v>230</v>
      </c>
      <c r="D56" s="43">
        <f t="shared" si="20"/>
        <v>137.87623900872865</v>
      </c>
      <c r="E56" s="36">
        <f t="shared" si="18"/>
        <v>469.523635662304</v>
      </c>
      <c r="G56" s="35">
        <f>H55</f>
        <v>180</v>
      </c>
      <c r="H56" s="37">
        <f>IF(AND('Finisher Model - NE Imperial'!E11=4,'Finisher Model - NE Imperial'!E6="Carcass"),B35,'Finisher Model - NE Imperial'!D18)</f>
        <v>230</v>
      </c>
      <c r="I56" s="43">
        <f t="shared" si="21"/>
        <v>137.87623900872865</v>
      </c>
      <c r="J56" s="36">
        <f t="shared" si="19"/>
        <v>469.523635662304</v>
      </c>
    </row>
    <row r="57" spans="1:11">
      <c r="A57">
        <v>5</v>
      </c>
      <c r="B57" s="31">
        <f>C56</f>
        <v>230</v>
      </c>
      <c r="C57" s="37">
        <f>'Finisher Model - NE Imperial'!D19</f>
        <v>285</v>
      </c>
      <c r="D57" s="43">
        <f t="shared" si="20"/>
        <v>172.26900695943021</v>
      </c>
      <c r="E57" s="36">
        <f t="shared" si="18"/>
        <v>641.79264262173422</v>
      </c>
      <c r="G57" s="31">
        <f>H56</f>
        <v>230</v>
      </c>
      <c r="H57" s="37">
        <f>IF(AND('Finisher Model - NE Imperial'!E11=5,'Finisher Model - NE Imperial'!E6="Carcass"),B35,'Finisher Model - NE Imperial'!D19)</f>
        <v>285</v>
      </c>
      <c r="I57" s="43">
        <f t="shared" si="21"/>
        <v>172.26900695943021</v>
      </c>
      <c r="J57" s="36">
        <f t="shared" si="19"/>
        <v>641.79264262173422</v>
      </c>
    </row>
    <row r="58" spans="1:11" ht="16.5" thickBot="1">
      <c r="A58">
        <v>6</v>
      </c>
      <c r="B58" s="38">
        <f>C57</f>
        <v>285</v>
      </c>
      <c r="C58" s="62">
        <f>'Finisher Model - NE Imperial'!D20</f>
        <v>0</v>
      </c>
      <c r="D58" s="65">
        <f>IF(C58="","",(E58-E57))</f>
        <v>-658.78490749691218</v>
      </c>
      <c r="E58" s="66">
        <f t="shared" si="18"/>
        <v>-16.992264875177963</v>
      </c>
      <c r="G58" s="38">
        <f>H57</f>
        <v>285</v>
      </c>
      <c r="H58" s="62">
        <f>IF(AND('Finisher Model - NE Imperial'!E11=6,'Finisher Model - NE Imperial'!E6="Carcass"),B35,'Finisher Model - NE Imperial'!D20)</f>
        <v>0</v>
      </c>
      <c r="I58" s="65">
        <f>IF(H58="","",(J58-J57))</f>
        <v>-658.78490749691218</v>
      </c>
      <c r="J58" s="66">
        <f t="shared" si="19"/>
        <v>-16.992264875177963</v>
      </c>
    </row>
    <row r="59" spans="1:11">
      <c r="B59" s="3">
        <f t="shared" ref="B59" si="22">C58</f>
        <v>0</v>
      </c>
      <c r="C59" s="5"/>
      <c r="D59" s="5"/>
      <c r="E59" s="5"/>
      <c r="G59" s="3">
        <f t="shared" ref="G59" si="23">H58</f>
        <v>0</v>
      </c>
      <c r="H59" s="5"/>
      <c r="I59" s="5"/>
      <c r="J59" s="5"/>
    </row>
    <row r="61" spans="1:11" ht="90">
      <c r="B61" s="48" t="s">
        <v>92</v>
      </c>
      <c r="C61" s="48" t="s">
        <v>93</v>
      </c>
      <c r="D61" s="107" t="s">
        <v>94</v>
      </c>
      <c r="E61" s="107"/>
      <c r="F61" s="107"/>
      <c r="G61" s="107"/>
      <c r="H61" s="5"/>
      <c r="I61" s="108" t="s">
        <v>95</v>
      </c>
    </row>
    <row r="62" spans="1:11">
      <c r="B62" s="49" t="s">
        <v>96</v>
      </c>
      <c r="C62" s="49" t="s">
        <v>96</v>
      </c>
      <c r="D62" s="49" t="s">
        <v>97</v>
      </c>
      <c r="E62" s="49" t="s">
        <v>98</v>
      </c>
      <c r="F62" s="49" t="s">
        <v>99</v>
      </c>
      <c r="G62" s="49"/>
      <c r="H62" s="49"/>
      <c r="I62" s="109"/>
      <c r="J62" s="49" t="s">
        <v>109</v>
      </c>
      <c r="K62" t="s">
        <v>170</v>
      </c>
    </row>
    <row r="63" spans="1:11">
      <c r="B63" s="48">
        <v>81</v>
      </c>
      <c r="C63" s="50">
        <v>110.17670623134534</v>
      </c>
      <c r="D63" s="6">
        <v>16.864782047899471</v>
      </c>
      <c r="E63" s="6">
        <v>14.510728742835685</v>
      </c>
      <c r="F63" s="50">
        <v>15.687755395367578</v>
      </c>
      <c r="G63" s="50"/>
      <c r="H63" s="51"/>
      <c r="I63" s="52">
        <v>0.73518262408316082</v>
      </c>
      <c r="J63" s="6">
        <f t="shared" ref="J63:J102" si="24">(I63*$B$39)*100</f>
        <v>74.663340548728613</v>
      </c>
      <c r="K63" s="6">
        <f t="shared" ref="K63:K102" si="25">J63*$B$43</f>
        <v>74.409030110609351</v>
      </c>
    </row>
    <row r="64" spans="1:11">
      <c r="B64" s="48">
        <v>82</v>
      </c>
      <c r="C64" s="50">
        <v>111.4039519642067</v>
      </c>
      <c r="D64" s="6">
        <v>17.074455706764272</v>
      </c>
      <c r="E64" s="6">
        <v>14.613701440729169</v>
      </c>
      <c r="F64" s="50">
        <v>15.844078573746721</v>
      </c>
      <c r="G64" s="50"/>
      <c r="H64" s="51"/>
      <c r="I64" s="52">
        <v>0.73606006388665657</v>
      </c>
      <c r="J64" s="6">
        <f t="shared" si="24"/>
        <v>74.752451178813359</v>
      </c>
      <c r="K64" s="6">
        <f t="shared" si="25"/>
        <v>74.497837221413931</v>
      </c>
    </row>
    <row r="65" spans="2:11">
      <c r="B65" s="48">
        <v>83</v>
      </c>
      <c r="C65" s="50">
        <v>112.6282752396024</v>
      </c>
      <c r="D65" s="6">
        <v>17.284147265806148</v>
      </c>
      <c r="E65" s="6">
        <v>14.71614342750836</v>
      </c>
      <c r="F65" s="50">
        <v>16.000145346657256</v>
      </c>
      <c r="G65" s="50"/>
      <c r="H65" s="51"/>
      <c r="I65" s="52">
        <v>0.73693750369015243</v>
      </c>
      <c r="J65" s="6">
        <f t="shared" si="24"/>
        <v>74.84156180889812</v>
      </c>
      <c r="K65" s="6">
        <f t="shared" si="25"/>
        <v>74.58664433221854</v>
      </c>
    </row>
    <row r="66" spans="2:11">
      <c r="B66" s="48">
        <v>84</v>
      </c>
      <c r="C66" s="50">
        <v>113.84968648405146</v>
      </c>
      <c r="D66" s="6">
        <v>17.493856510850449</v>
      </c>
      <c r="E66" s="6">
        <v>14.81806378371237</v>
      </c>
      <c r="F66" s="50">
        <v>16.155960147281409</v>
      </c>
      <c r="G66" s="50"/>
      <c r="H66" s="51"/>
      <c r="I66" s="52">
        <v>0.73781494349364829</v>
      </c>
      <c r="J66" s="6">
        <f t="shared" si="24"/>
        <v>74.930672438982896</v>
      </c>
      <c r="K66" s="6">
        <f t="shared" si="25"/>
        <v>74.67545144302315</v>
      </c>
    </row>
    <row r="67" spans="2:11">
      <c r="B67" s="48">
        <v>85</v>
      </c>
      <c r="C67" s="50">
        <v>115.06819607453319</v>
      </c>
      <c r="D67" s="6">
        <v>17.703583232804778</v>
      </c>
      <c r="E67" s="6">
        <v>14.919471328516645</v>
      </c>
      <c r="F67" s="50">
        <v>16.311527280660712</v>
      </c>
      <c r="G67" s="50"/>
      <c r="H67" s="51"/>
      <c r="I67" s="52">
        <v>0.73869238329714404</v>
      </c>
      <c r="J67" s="6">
        <f t="shared" si="24"/>
        <v>75.019783069067643</v>
      </c>
      <c r="K67" s="6">
        <f t="shared" si="25"/>
        <v>74.76425855382773</v>
      </c>
    </row>
    <row r="68" spans="2:11">
      <c r="B68" s="48">
        <v>86</v>
      </c>
      <c r="C68" s="50">
        <v>116.28381433878111</v>
      </c>
      <c r="D68" s="6">
        <v>17.913327227479776</v>
      </c>
      <c r="E68" s="6">
        <v>15.020374630235036</v>
      </c>
      <c r="F68" s="50">
        <v>16.466850928857404</v>
      </c>
      <c r="G68" s="50"/>
      <c r="H68" s="50"/>
      <c r="I68" s="52">
        <v>0.7395698231006399</v>
      </c>
      <c r="J68" s="6">
        <f t="shared" si="24"/>
        <v>75.108893699152418</v>
      </c>
      <c r="K68" s="6">
        <f t="shared" si="25"/>
        <v>74.853065664632339</v>
      </c>
    </row>
    <row r="69" spans="2:11">
      <c r="B69" s="48">
        <v>87</v>
      </c>
      <c r="C69" s="50">
        <v>117.49655155557477</v>
      </c>
      <c r="D69" s="6">
        <v>18.123088295418643</v>
      </c>
      <c r="E69" s="6">
        <v>15.120782016283018</v>
      </c>
      <c r="F69" s="50">
        <v>16.621935155850831</v>
      </c>
      <c r="G69" s="50"/>
      <c r="H69" s="50"/>
      <c r="I69" s="52">
        <v>0.74044726290413565</v>
      </c>
      <c r="J69" s="6">
        <f t="shared" si="24"/>
        <v>75.198004329237165</v>
      </c>
      <c r="K69" s="6">
        <f t="shared" si="25"/>
        <v>74.94187277543692</v>
      </c>
    </row>
    <row r="70" spans="2:11">
      <c r="B70" s="48">
        <v>88</v>
      </c>
      <c r="C70" s="50">
        <v>118.70641795502937</v>
      </c>
      <c r="D70" s="6">
        <v>18.332866241734184</v>
      </c>
      <c r="E70" s="6">
        <v>15.220701582635391</v>
      </c>
      <c r="F70" s="50">
        <v>16.776783912184786</v>
      </c>
      <c r="G70" s="50"/>
      <c r="H70" s="50"/>
      <c r="I70" s="52">
        <v>0.74132470270763151</v>
      </c>
      <c r="J70" s="6">
        <f t="shared" si="24"/>
        <v>75.287114959321926</v>
      </c>
      <c r="K70" s="6">
        <f t="shared" si="25"/>
        <v>75.030679886241529</v>
      </c>
    </row>
    <row r="71" spans="2:11">
      <c r="B71" s="48">
        <v>89</v>
      </c>
      <c r="C71" s="50">
        <v>119.91342371888354</v>
      </c>
      <c r="D71" s="6">
        <v>18.542660875953423</v>
      </c>
      <c r="E71" s="6">
        <v>15.320141202809715</v>
      </c>
      <c r="F71" s="50">
        <v>16.931401039381569</v>
      </c>
      <c r="G71" s="50"/>
      <c r="H71" s="50"/>
      <c r="I71" s="52">
        <v>0.74220214251112737</v>
      </c>
      <c r="J71" s="6">
        <f t="shared" si="24"/>
        <v>75.376225589406701</v>
      </c>
      <c r="K71" s="6">
        <f t="shared" si="25"/>
        <v>75.119486997046138</v>
      </c>
    </row>
    <row r="72" spans="2:11">
      <c r="B72" s="5">
        <v>90</v>
      </c>
      <c r="C72" s="50">
        <v>121.11757898078487</v>
      </c>
      <c r="D72" s="6">
        <v>18.752472011869195</v>
      </c>
      <c r="E72" s="6">
        <v>15.419108536404257</v>
      </c>
      <c r="F72" s="50">
        <v>17.085790274136727</v>
      </c>
      <c r="G72" s="50"/>
      <c r="H72" s="6"/>
      <c r="I72" s="52">
        <v>0.74307958231462312</v>
      </c>
      <c r="J72" s="6">
        <f t="shared" si="24"/>
        <v>75.465336219491448</v>
      </c>
      <c r="K72" s="6">
        <f t="shared" si="25"/>
        <v>75.208294107850719</v>
      </c>
    </row>
    <row r="73" spans="2:11">
      <c r="B73" s="5">
        <v>91</v>
      </c>
      <c r="C73" s="50">
        <v>122.31889382657351</v>
      </c>
      <c r="D73" s="6">
        <v>18.962299467398132</v>
      </c>
      <c r="E73" s="6">
        <v>15.517611037217174</v>
      </c>
      <c r="F73" s="50">
        <v>17.239955252307652</v>
      </c>
      <c r="G73" s="50"/>
      <c r="H73" s="6"/>
      <c r="I73" s="52">
        <v>0.74395702211811898</v>
      </c>
      <c r="J73" s="6">
        <f t="shared" si="24"/>
        <v>75.554446849576223</v>
      </c>
      <c r="K73" s="6">
        <f t="shared" si="25"/>
        <v>75.297101218655328</v>
      </c>
    </row>
    <row r="74" spans="2:11">
      <c r="B74" s="5">
        <v>92</v>
      </c>
      <c r="C74" s="50">
        <v>123.51737829456385</v>
      </c>
      <c r="D74" s="6">
        <v>19.172143064445141</v>
      </c>
      <c r="E74" s="6">
        <v>15.615655960971905</v>
      </c>
      <c r="F74" s="50">
        <v>17.393899512708522</v>
      </c>
      <c r="G74" s="50"/>
      <c r="H74" s="6"/>
      <c r="I74" s="52">
        <v>0.74483446192161473</v>
      </c>
      <c r="J74" s="6">
        <f t="shared" si="24"/>
        <v>75.643557479660956</v>
      </c>
      <c r="K74" s="6">
        <f t="shared" si="25"/>
        <v>75.385908329459895</v>
      </c>
    </row>
    <row r="75" spans="2:11">
      <c r="B75" s="5">
        <v>93</v>
      </c>
      <c r="C75" s="50">
        <v>124.71304237582397</v>
      </c>
      <c r="D75" s="6">
        <v>19.382002628773577</v>
      </c>
      <c r="E75" s="6">
        <v>15.713250372671933</v>
      </c>
      <c r="F75" s="50">
        <v>17.547626500722757</v>
      </c>
      <c r="G75" s="50"/>
      <c r="H75" s="6"/>
      <c r="I75" s="52">
        <v>0.74571190172511059</v>
      </c>
      <c r="J75" s="6">
        <f t="shared" si="24"/>
        <v>75.732668109745731</v>
      </c>
      <c r="K75" s="6">
        <f t="shared" si="25"/>
        <v>75.474715440264518</v>
      </c>
    </row>
    <row r="76" spans="2:11">
      <c r="B76" s="5">
        <v>94</v>
      </c>
      <c r="C76" s="50">
        <v>125.90589601445348</v>
      </c>
      <c r="D76" s="6">
        <v>19.591877989881006</v>
      </c>
      <c r="E76" s="6">
        <v>15.81040115360647</v>
      </c>
      <c r="F76" s="50">
        <v>17.701139571743738</v>
      </c>
      <c r="G76" s="50"/>
      <c r="H76" s="6"/>
      <c r="I76" s="52">
        <v>0.74658934152860634</v>
      </c>
      <c r="J76" s="6">
        <f t="shared" si="24"/>
        <v>75.821778739830478</v>
      </c>
      <c r="K76" s="6">
        <f t="shared" si="25"/>
        <v>75.563522551069099</v>
      </c>
    </row>
    <row r="77" spans="2:11">
      <c r="B77" s="5">
        <v>95</v>
      </c>
      <c r="C77" s="50">
        <v>127.09594910785896</v>
      </c>
      <c r="D77" s="6">
        <v>19.80176898088045</v>
      </c>
      <c r="E77" s="6">
        <v>15.907115008027194</v>
      </c>
      <c r="F77" s="50">
        <v>17.854441994453822</v>
      </c>
      <c r="G77" s="50"/>
      <c r="H77" s="6"/>
      <c r="I77" s="52">
        <v>0.7474667813321022</v>
      </c>
      <c r="J77" s="6">
        <f t="shared" si="24"/>
        <v>75.910889369915253</v>
      </c>
      <c r="K77" s="6">
        <f t="shared" si="25"/>
        <v>75.652329661873708</v>
      </c>
    </row>
    <row r="78" spans="2:11">
      <c r="B78" s="5">
        <v>96</v>
      </c>
      <c r="C78" s="50">
        <v>128.28321150702794</v>
      </c>
      <c r="D78" s="6">
        <v>20.011675438386312</v>
      </c>
      <c r="E78" s="6">
        <v>16.003398469514622</v>
      </c>
      <c r="F78" s="50">
        <v>18.007536953950467</v>
      </c>
      <c r="G78" s="50"/>
      <c r="H78" s="6"/>
      <c r="I78" s="52">
        <v>0.74834422113559795</v>
      </c>
      <c r="J78" s="6">
        <f t="shared" si="24"/>
        <v>76</v>
      </c>
      <c r="K78" s="6">
        <f t="shared" si="25"/>
        <v>75.741136772678288</v>
      </c>
    </row>
    <row r="79" spans="2:11">
      <c r="B79" s="5">
        <v>97</v>
      </c>
      <c r="C79" s="50">
        <v>129.46769301680052</v>
      </c>
      <c r="D79" s="6">
        <v>20.221597202405267</v>
      </c>
      <c r="E79" s="6">
        <v>16.099257907051943</v>
      </c>
      <c r="F79" s="50">
        <v>18.160427554728606</v>
      </c>
      <c r="G79" s="50"/>
      <c r="H79" s="6"/>
      <c r="I79" s="52">
        <v>0.74922166093909381</v>
      </c>
      <c r="J79" s="6">
        <f t="shared" si="24"/>
        <v>76.089110630084761</v>
      </c>
      <c r="K79" s="6">
        <f t="shared" si="25"/>
        <v>75.829943883482883</v>
      </c>
    </row>
    <row r="80" spans="2:11">
      <c r="B80" s="5">
        <v>98</v>
      </c>
      <c r="C80" s="50">
        <v>130.64940339613941</v>
      </c>
      <c r="D80" s="6">
        <v>20.43153411623155</v>
      </c>
      <c r="E80" s="6">
        <v>16.194699530822238</v>
      </c>
      <c r="F80" s="50">
        <v>18.313116823526894</v>
      </c>
      <c r="G80" s="50"/>
      <c r="H80" s="6"/>
      <c r="I80" s="52">
        <v>0.75009910074258968</v>
      </c>
      <c r="J80" s="6">
        <f t="shared" si="24"/>
        <v>76.178221260169536</v>
      </c>
      <c r="K80" s="6">
        <f t="shared" si="25"/>
        <v>75.918750994287507</v>
      </c>
    </row>
    <row r="81" spans="2:11">
      <c r="B81" s="5">
        <v>99</v>
      </c>
      <c r="C81" s="50">
        <v>131.82835235839786</v>
      </c>
      <c r="D81" s="6">
        <v>20.641486026346577</v>
      </c>
      <c r="E81" s="6">
        <v>16.289729397744711</v>
      </c>
      <c r="F81" s="50">
        <v>18.465607712045646</v>
      </c>
      <c r="G81" s="50"/>
      <c r="H81" s="6"/>
      <c r="I81" s="52">
        <v>0.75097654054608542</v>
      </c>
      <c r="J81" s="6">
        <f t="shared" si="24"/>
        <v>76.267331890254283</v>
      </c>
      <c r="K81" s="6">
        <f t="shared" si="25"/>
        <v>76.007558105092087</v>
      </c>
    </row>
    <row r="82" spans="2:11">
      <c r="B82" s="5">
        <v>100</v>
      </c>
      <c r="C82" s="50">
        <v>133.00454957158581</v>
      </c>
      <c r="D82" s="6">
        <v>20.851452782322603</v>
      </c>
      <c r="E82" s="6">
        <v>16.384353416763961</v>
      </c>
      <c r="F82" s="50">
        <v>18.617903099543284</v>
      </c>
      <c r="G82" s="50"/>
      <c r="H82" s="6"/>
      <c r="I82" s="52">
        <v>0.75185398034958129</v>
      </c>
      <c r="J82" s="6">
        <f t="shared" si="24"/>
        <v>76.356442520339058</v>
      </c>
      <c r="K82" s="6">
        <f t="shared" si="25"/>
        <v>76.096365215896697</v>
      </c>
    </row>
    <row r="83" spans="2:11">
      <c r="B83" s="5">
        <v>101</v>
      </c>
      <c r="C83" s="50">
        <v>134.17800465863434</v>
      </c>
      <c r="D83" s="6">
        <v>21.061434236730111</v>
      </c>
      <c r="E83" s="6">
        <v>16.478577353905742</v>
      </c>
      <c r="F83" s="50">
        <v>18.770005795317928</v>
      </c>
      <c r="G83" s="50"/>
      <c r="H83" s="6"/>
      <c r="I83" s="52">
        <v>0.75273142015307704</v>
      </c>
      <c r="J83" s="6">
        <f t="shared" si="24"/>
        <v>76.445553150423791</v>
      </c>
      <c r="K83" s="6">
        <f t="shared" si="25"/>
        <v>76.185172326701263</v>
      </c>
    </row>
    <row r="84" spans="2:11">
      <c r="B84" s="5">
        <v>102</v>
      </c>
      <c r="C84" s="50">
        <v>135.34872719765769</v>
      </c>
      <c r="D84" s="6">
        <v>21.27143024504899</v>
      </c>
      <c r="E84" s="6">
        <v>16.572406837111849</v>
      </c>
      <c r="F84" s="50">
        <v>18.921918541080419</v>
      </c>
      <c r="G84" s="50"/>
      <c r="H84" s="6"/>
      <c r="I84" s="52">
        <v>0.7536088599565729</v>
      </c>
      <c r="J84" s="6">
        <f t="shared" si="24"/>
        <v>76.534663780508566</v>
      </c>
      <c r="K84" s="6">
        <f t="shared" si="25"/>
        <v>76.273979437505872</v>
      </c>
    </row>
    <row r="85" spans="2:11">
      <c r="B85" s="5">
        <v>103</v>
      </c>
      <c r="C85" s="50">
        <v>136.51672672221434</v>
      </c>
      <c r="D85" s="6">
        <v>21.481440665583278</v>
      </c>
      <c r="E85" s="6">
        <v>16.665847360865602</v>
      </c>
      <c r="F85" s="50">
        <v>19.073644013224438</v>
      </c>
      <c r="G85" s="50"/>
      <c r="H85" s="6"/>
      <c r="I85" s="52">
        <v>0.75448629976006876</v>
      </c>
      <c r="J85" s="6">
        <f t="shared" si="24"/>
        <v>76.623774410593327</v>
      </c>
      <c r="K85" s="6">
        <f t="shared" si="25"/>
        <v>76.362786548310481</v>
      </c>
    </row>
    <row r="86" spans="2:11">
      <c r="B86" s="5">
        <v>104</v>
      </c>
      <c r="C86" s="50">
        <v>137.68201272156554</v>
      </c>
      <c r="D86" s="6">
        <v>21.69146535937886</v>
      </c>
      <c r="E86" s="6">
        <v>16.758904290619089</v>
      </c>
      <c r="F86" s="50">
        <v>19.225184824998976</v>
      </c>
      <c r="G86" s="50"/>
      <c r="H86" s="6"/>
      <c r="I86" s="52">
        <v>0.75536373956356451</v>
      </c>
      <c r="J86" s="6">
        <f t="shared" si="24"/>
        <v>76.712885040678074</v>
      </c>
      <c r="K86" s="6">
        <f t="shared" si="25"/>
        <v>76.451593659115062</v>
      </c>
    </row>
    <row r="87" spans="2:11">
      <c r="B87" s="5">
        <v>105</v>
      </c>
      <c r="C87" s="50">
        <v>138.84459464093223</v>
      </c>
      <c r="D87" s="6">
        <v>21.901504190144763</v>
      </c>
      <c r="E87" s="6">
        <v>16.851582867032572</v>
      </c>
      <c r="F87" s="50">
        <v>19.37654352858867</v>
      </c>
      <c r="G87" s="50"/>
      <c r="H87" s="6"/>
      <c r="I87" s="52">
        <v>0.75624117936706026</v>
      </c>
      <c r="J87" s="6">
        <f t="shared" si="24"/>
        <v>76.801995670762835</v>
      </c>
      <c r="K87" s="6">
        <f t="shared" si="25"/>
        <v>76.540400769919657</v>
      </c>
    </row>
    <row r="88" spans="2:11">
      <c r="B88" s="5">
        <v>106</v>
      </c>
      <c r="C88" s="50">
        <v>140.00448188175039</v>
      </c>
      <c r="D88" s="6">
        <v>22.111557024177106</v>
      </c>
      <c r="E88" s="6">
        <v>16.943888210035503</v>
      </c>
      <c r="F88" s="50">
        <v>19.527722617106306</v>
      </c>
      <c r="G88" s="50"/>
      <c r="H88" s="6"/>
      <c r="I88" s="52">
        <v>0.75711861917055612</v>
      </c>
      <c r="J88" s="6">
        <f t="shared" si="24"/>
        <v>76.891106300847596</v>
      </c>
      <c r="K88" s="6">
        <f t="shared" si="25"/>
        <v>76.629207880724252</v>
      </c>
    </row>
    <row r="89" spans="2:11">
      <c r="B89" s="5">
        <v>107</v>
      </c>
      <c r="C89" s="50">
        <v>141.16168380192445</v>
      </c>
      <c r="D89" s="6">
        <v>22.321623730286092</v>
      </c>
      <c r="E89" s="6">
        <v>17.035825322718448</v>
      </c>
      <c r="F89" s="50">
        <v>19.678724526502272</v>
      </c>
      <c r="G89" s="50"/>
      <c r="H89" s="6"/>
      <c r="I89" s="52">
        <v>0.75799605897405198</v>
      </c>
      <c r="J89" s="6">
        <f t="shared" si="24"/>
        <v>76.980216930932372</v>
      </c>
      <c r="K89" s="6">
        <f t="shared" si="25"/>
        <v>76.718014991528861</v>
      </c>
    </row>
    <row r="90" spans="2:11">
      <c r="B90" s="5">
        <v>108</v>
      </c>
      <c r="C90" s="50">
        <v>142.31620971607887</v>
      </c>
      <c r="D90" s="6">
        <v>22.531704179725708</v>
      </c>
      <c r="E90" s="6">
        <v>17.127399095064437</v>
      </c>
      <c r="F90" s="50">
        <v>19.82955163739507</v>
      </c>
      <c r="G90" s="50"/>
      <c r="H90" s="6"/>
      <c r="I90" s="52">
        <v>0.75887349877754773</v>
      </c>
      <c r="J90" s="6">
        <f t="shared" si="24"/>
        <v>77.069327561017118</v>
      </c>
      <c r="K90" s="6">
        <f t="shared" si="25"/>
        <v>76.806822102333456</v>
      </c>
    </row>
    <row r="91" spans="2:11">
      <c r="B91" s="5">
        <v>109</v>
      </c>
      <c r="C91" s="50">
        <v>143.46806889580807</v>
      </c>
      <c r="D91" s="6">
        <v>22.741798246125917</v>
      </c>
      <c r="E91" s="6">
        <v>17.218614307527691</v>
      </c>
      <c r="F91" s="50">
        <v>19.980206276826806</v>
      </c>
      <c r="G91" s="50"/>
      <c r="H91" s="6"/>
      <c r="I91" s="52">
        <v>0.75975093858104359</v>
      </c>
      <c r="J91" s="6">
        <f t="shared" si="24"/>
        <v>77.15843819110188</v>
      </c>
      <c r="K91" s="6">
        <f t="shared" si="25"/>
        <v>76.895629213138051</v>
      </c>
    </row>
    <row r="92" spans="2:11">
      <c r="B92" s="5">
        <v>110</v>
      </c>
      <c r="C92" s="50">
        <v>144.61727056992473</v>
      </c>
      <c r="D92" s="6">
        <v>22.951905805427518</v>
      </c>
      <c r="E92" s="6">
        <v>17.309475634467464</v>
      </c>
      <c r="F92" s="50">
        <v>20.130690719947491</v>
      </c>
      <c r="G92" s="50"/>
      <c r="H92" s="6"/>
      <c r="I92" s="52">
        <v>0.76062837838453934</v>
      </c>
      <c r="J92" s="6">
        <f t="shared" si="24"/>
        <v>77.247548821186641</v>
      </c>
      <c r="K92" s="6">
        <f t="shared" si="25"/>
        <v>76.984436323942646</v>
      </c>
    </row>
    <row r="93" spans="2:11">
      <c r="B93" s="5">
        <v>111</v>
      </c>
      <c r="C93" s="50">
        <v>145.76382392470609</v>
      </c>
      <c r="D93" s="6">
        <v>23.162026735819119</v>
      </c>
      <c r="E93" s="6">
        <v>17.399987647444007</v>
      </c>
      <c r="F93" s="50">
        <v>20.281007191631563</v>
      </c>
      <c r="G93" s="50"/>
      <c r="H93" s="6"/>
      <c r="I93" s="52">
        <v>0.7615058181880352</v>
      </c>
      <c r="J93" s="6">
        <f t="shared" si="24"/>
        <v>77.336659451271402</v>
      </c>
      <c r="K93" s="6">
        <f t="shared" si="25"/>
        <v>77.073243434747241</v>
      </c>
    </row>
    <row r="94" spans="2:11">
      <c r="B94" s="5">
        <v>112</v>
      </c>
      <c r="C94" s="50">
        <v>146.9077381041389</v>
      </c>
      <c r="D94" s="6">
        <v>23.372160917676677</v>
      </c>
      <c r="E94" s="6">
        <v>17.49015481838342</v>
      </c>
      <c r="F94" s="50">
        <v>20.431157868030049</v>
      </c>
      <c r="G94" s="50"/>
      <c r="H94" s="6"/>
      <c r="I94" s="52">
        <v>0.76238325799153106</v>
      </c>
      <c r="J94" s="6">
        <f t="shared" si="24"/>
        <v>77.425770081356163</v>
      </c>
      <c r="K94" s="6">
        <f t="shared" si="25"/>
        <v>77.162050545551836</v>
      </c>
    </row>
    <row r="95" spans="2:11">
      <c r="B95" s="5">
        <v>113</v>
      </c>
      <c r="C95" s="50">
        <v>148.04902221016243</v>
      </c>
      <c r="D95" s="6">
        <v>23.582308233504943</v>
      </c>
      <c r="E95" s="6">
        <v>17.579981522617746</v>
      </c>
      <c r="F95" s="50">
        <v>20.581144878061345</v>
      </c>
      <c r="G95" s="50"/>
      <c r="H95" s="6"/>
      <c r="I95" s="52">
        <v>0.76326069779502681</v>
      </c>
      <c r="J95" s="6">
        <f t="shared" si="24"/>
        <v>77.51488071144091</v>
      </c>
      <c r="K95" s="6">
        <f t="shared" si="25"/>
        <v>77.25085765635643</v>
      </c>
    </row>
    <row r="96" spans="2:11">
      <c r="B96" s="5">
        <v>114</v>
      </c>
      <c r="C96" s="50">
        <v>149.18768530290981</v>
      </c>
      <c r="D96" s="6">
        <v>23.792468567881055</v>
      </c>
      <c r="E96" s="6">
        <v>17.66947204180623</v>
      </c>
      <c r="F96" s="50">
        <v>20.730970304843645</v>
      </c>
      <c r="G96" s="50"/>
      <c r="H96" s="6"/>
      <c r="I96" s="52">
        <v>0.76413813759852267</v>
      </c>
      <c r="J96" s="6">
        <f t="shared" si="24"/>
        <v>77.603991341525685</v>
      </c>
      <c r="K96" s="6">
        <f t="shared" si="25"/>
        <v>77.33966476716104</v>
      </c>
    </row>
    <row r="97" spans="2:11">
      <c r="B97" s="5">
        <v>115</v>
      </c>
      <c r="C97" s="50">
        <v>150.32373640094792</v>
      </c>
      <c r="D97" s="6">
        <v>24.002641807400256</v>
      </c>
      <c r="E97" s="6">
        <v>17.758630566743491</v>
      </c>
      <c r="F97" s="50">
        <v>20.880636187071872</v>
      </c>
      <c r="G97" s="50"/>
      <c r="H97" s="6"/>
      <c r="I97" s="52">
        <v>0.76501557740201842</v>
      </c>
      <c r="J97" s="6">
        <f t="shared" si="24"/>
        <v>77.693101971610432</v>
      </c>
      <c r="K97" s="6">
        <f t="shared" si="25"/>
        <v>77.42847187796562</v>
      </c>
    </row>
    <row r="98" spans="2:11">
      <c r="B98" s="5">
        <v>116</v>
      </c>
      <c r="C98" s="50">
        <v>151.45718448151536</v>
      </c>
      <c r="D98" s="6">
        <v>24.212827840623181</v>
      </c>
      <c r="E98" s="6">
        <v>17.847461200059801</v>
      </c>
      <c r="F98" s="50">
        <v>21.030144520341491</v>
      </c>
      <c r="G98" s="50"/>
      <c r="H98" s="6"/>
      <c r="I98" s="52">
        <v>0.76589301720551428</v>
      </c>
      <c r="J98" s="6">
        <f t="shared" si="24"/>
        <v>77.782212601695193</v>
      </c>
      <c r="K98" s="6">
        <f t="shared" si="25"/>
        <v>77.517278988770215</v>
      </c>
    </row>
    <row r="99" spans="2:11">
      <c r="B99" s="5">
        <v>117</v>
      </c>
      <c r="C99" s="50">
        <v>152.58803848075902</v>
      </c>
      <c r="D99" s="6">
        <v>24.423026558025349</v>
      </c>
      <c r="E99" s="6">
        <v>17.935967958818601</v>
      </c>
      <c r="F99" s="50">
        <v>21.179497258421975</v>
      </c>
      <c r="G99" s="50"/>
      <c r="H99" s="6"/>
      <c r="I99" s="52">
        <v>0.76677045700901003</v>
      </c>
      <c r="J99" s="6">
        <f t="shared" si="24"/>
        <v>77.871323231779954</v>
      </c>
      <c r="K99" s="6">
        <f t="shared" si="25"/>
        <v>77.60608609957481</v>
      </c>
    </row>
    <row r="100" spans="2:11">
      <c r="B100" s="5">
        <v>118</v>
      </c>
      <c r="C100" s="50">
        <v>153.71630729396878</v>
      </c>
      <c r="D100" s="6">
        <v>24.633237851947925</v>
      </c>
      <c r="E100" s="6">
        <v>18.024154777015983</v>
      </c>
      <c r="F100" s="50">
        <v>21.328696314481952</v>
      </c>
      <c r="G100" s="50"/>
      <c r="H100" s="6"/>
      <c r="I100" s="52">
        <v>0.76764789681250589</v>
      </c>
      <c r="J100" s="6">
        <f t="shared" si="24"/>
        <v>77.960433861864715</v>
      </c>
      <c r="K100" s="6">
        <f t="shared" si="25"/>
        <v>77.694893210379419</v>
      </c>
    </row>
    <row r="101" spans="2:11">
      <c r="B101" s="5">
        <v>119</v>
      </c>
      <c r="C101" s="50">
        <v>154.84199977581099</v>
      </c>
      <c r="D101" s="6">
        <v>24.843461616550663</v>
      </c>
      <c r="E101" s="6">
        <v>18.112025507986587</v>
      </c>
      <c r="F101" s="50">
        <v>21.477743562268625</v>
      </c>
      <c r="G101" s="50"/>
      <c r="H101" s="6"/>
      <c r="I101" s="52">
        <v>0.76852533661600164</v>
      </c>
      <c r="J101" s="6">
        <f t="shared" si="24"/>
        <v>78.049544491949476</v>
      </c>
      <c r="K101" s="6">
        <f t="shared" si="25"/>
        <v>77.783700321184014</v>
      </c>
    </row>
    <row r="102" spans="2:11">
      <c r="B102" s="5">
        <v>120</v>
      </c>
      <c r="C102" s="50">
        <v>155.96512474055984</v>
      </c>
      <c r="D102" s="6">
        <v>25.053697747765945</v>
      </c>
      <c r="E102" s="6">
        <v>18.199583926720305</v>
      </c>
      <c r="F102" s="50">
        <v>21.626640837243123</v>
      </c>
      <c r="G102" s="50"/>
      <c r="H102" s="6"/>
      <c r="I102" s="52">
        <v>0.7694027764194975</v>
      </c>
      <c r="J102" s="6">
        <f t="shared" si="24"/>
        <v>78.138655122034237</v>
      </c>
      <c r="K102" s="6">
        <f t="shared" si="25"/>
        <v>77.872507431988609</v>
      </c>
    </row>
  </sheetData>
  <mergeCells count="8">
    <mergeCell ref="B48:E48"/>
    <mergeCell ref="G47:J47"/>
    <mergeCell ref="G48:J48"/>
    <mergeCell ref="A1:O1"/>
    <mergeCell ref="A2:A4"/>
    <mergeCell ref="J2:K3"/>
    <mergeCell ref="B2:G3"/>
    <mergeCell ref="B47:E4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CD52D-BA3D-4A42-B977-EE189B249F5D}">
  <sheetPr codeName="Sheet7">
    <tabColor rgb="FFFFFF00"/>
  </sheetPr>
  <dimension ref="A1:P94"/>
  <sheetViews>
    <sheetView workbookViewId="0">
      <selection activeCell="B34" sqref="B34"/>
    </sheetView>
  </sheetViews>
  <sheetFormatPr defaultColWidth="10.625" defaultRowHeight="15.75"/>
  <cols>
    <col min="1" max="1" width="66.125" bestFit="1" customWidth="1"/>
    <col min="2" max="2" width="11.125" customWidth="1"/>
    <col min="3" max="3" width="11.625" bestFit="1" customWidth="1"/>
    <col min="4" max="4" width="11" bestFit="1" customWidth="1"/>
    <col min="5" max="6" width="11.625" bestFit="1" customWidth="1"/>
    <col min="7" max="7" width="11.625" customWidth="1"/>
    <col min="10" max="10" width="48.625" bestFit="1" customWidth="1"/>
    <col min="13" max="13" width="10.625" customWidth="1"/>
  </cols>
  <sheetData>
    <row r="1" spans="1:16" ht="21">
      <c r="A1" s="312" t="s">
        <v>27</v>
      </c>
      <c r="B1" s="312"/>
      <c r="C1" s="312"/>
      <c r="D1" s="312"/>
      <c r="E1" s="312"/>
      <c r="F1" s="312"/>
      <c r="G1" s="312"/>
      <c r="H1" s="312"/>
      <c r="I1" s="312"/>
      <c r="J1" s="312"/>
      <c r="K1" s="312"/>
      <c r="L1" s="312"/>
      <c r="M1" s="312"/>
      <c r="N1" s="312"/>
      <c r="O1" s="312"/>
    </row>
    <row r="2" spans="1:16">
      <c r="A2" s="313" t="s">
        <v>28</v>
      </c>
      <c r="B2" s="315" t="s">
        <v>29</v>
      </c>
      <c r="C2" s="315"/>
      <c r="D2" s="315"/>
      <c r="E2" s="315"/>
      <c r="F2" s="315"/>
      <c r="G2" s="315"/>
      <c r="H2" s="2"/>
      <c r="I2" s="2"/>
      <c r="J2" s="315" t="s">
        <v>30</v>
      </c>
      <c r="K2" s="315"/>
      <c r="L2" s="56"/>
      <c r="M2" s="2"/>
      <c r="N2" s="2"/>
      <c r="O2" s="2"/>
    </row>
    <row r="3" spans="1:16">
      <c r="A3" s="313"/>
      <c r="B3" s="315"/>
      <c r="C3" s="315"/>
      <c r="D3" s="315"/>
      <c r="E3" s="315"/>
      <c r="F3" s="315"/>
      <c r="G3" s="315"/>
      <c r="H3" s="2"/>
      <c r="I3" s="2"/>
      <c r="J3" s="315"/>
      <c r="K3" s="315"/>
      <c r="L3" s="56"/>
      <c r="M3" s="2"/>
      <c r="N3" s="2"/>
      <c r="O3" s="2"/>
    </row>
    <row r="4" spans="1:16">
      <c r="A4" s="313"/>
      <c r="B4" s="8">
        <v>1</v>
      </c>
      <c r="C4" s="8">
        <v>2</v>
      </c>
      <c r="D4" s="8">
        <v>3</v>
      </c>
      <c r="E4" s="8">
        <v>4</v>
      </c>
      <c r="F4" s="8">
        <v>5</v>
      </c>
      <c r="G4" s="8">
        <v>6</v>
      </c>
      <c r="H4" s="2"/>
      <c r="I4" s="2"/>
      <c r="J4" s="2" t="s">
        <v>28</v>
      </c>
      <c r="K4" s="2" t="s">
        <v>31</v>
      </c>
      <c r="L4" s="2">
        <v>2</v>
      </c>
      <c r="M4" s="2">
        <v>3</v>
      </c>
      <c r="N4" s="2">
        <v>4</v>
      </c>
      <c r="O4" s="2">
        <v>5</v>
      </c>
      <c r="P4" s="2">
        <v>6</v>
      </c>
    </row>
    <row r="5" spans="1:16">
      <c r="A5" t="s">
        <v>76</v>
      </c>
      <c r="B5" s="3">
        <f>'Finisher Model - NE Imperial'!C15</f>
        <v>50</v>
      </c>
      <c r="C5" s="3">
        <f>'Finisher Model - NE Imperial'!C16</f>
        <v>90</v>
      </c>
      <c r="D5" s="3">
        <f>'Finisher Model - NE Imperial'!C17</f>
        <v>130</v>
      </c>
      <c r="E5" s="3">
        <f>'Finisher Model - NE Imperial'!C18</f>
        <v>180</v>
      </c>
      <c r="F5" s="3">
        <f>'Finisher Model - NE Imperial'!C19</f>
        <v>230</v>
      </c>
      <c r="G5" s="3" t="str">
        <f>'Finisher Model - NE Imperial'!C20</f>
        <v/>
      </c>
      <c r="J5" t="s">
        <v>42</v>
      </c>
      <c r="K5" s="7">
        <f>IF('Finisher Model - NE Imperial'!$E$11=2,L5,IF('Finisher Model - NE Imperial'!$E$11=3,M5,IF('Finisher Model - NE Imperial'!$E$11=4,N5,IF('Finisher Model - NE Imperial'!$E$11=5,O5,IF('Finisher Model - NE Imperial'!$E$11=6,P5,"")))))</f>
        <v>2.1522190622893005</v>
      </c>
      <c r="L5">
        <f>((SUM(B19:C19)/SUM(B16:C16)))</f>
        <v>2.1519628229943164</v>
      </c>
      <c r="M5">
        <f>((SUM(B19:D19)/SUM(B16:D16)))</f>
        <v>2.1520407826666363</v>
      </c>
      <c r="N5">
        <f>SUM(B19:E19)/SUM(B16:E16)</f>
        <v>2.1519438073063313</v>
      </c>
      <c r="O5">
        <f>SUM(B19:F19)/SUM(B16:F16)</f>
        <v>2.1522190622893005</v>
      </c>
      <c r="P5" t="e">
        <f>SUM(B19:G19)/SUM(B16:G16)</f>
        <v>#VALUE!</v>
      </c>
    </row>
    <row r="6" spans="1:16">
      <c r="A6" t="s">
        <v>77</v>
      </c>
      <c r="B6" s="3">
        <f>'Finisher Model - NE Imperial'!D15</f>
        <v>90</v>
      </c>
      <c r="C6" s="3">
        <f>'Finisher Model - NE Imperial'!D16</f>
        <v>130</v>
      </c>
      <c r="D6" s="3">
        <f>'Finisher Model - NE Imperial'!D17</f>
        <v>180</v>
      </c>
      <c r="E6" s="3">
        <f>'Finisher Model - NE Imperial'!D18</f>
        <v>230</v>
      </c>
      <c r="F6" s="3">
        <f>'Finisher Model - NE Imperial'!D19</f>
        <v>285</v>
      </c>
      <c r="G6" s="3">
        <f>'Finisher Model - NE Imperial'!D20</f>
        <v>0</v>
      </c>
      <c r="J6" t="s">
        <v>43</v>
      </c>
      <c r="K6" s="112">
        <f>IF('Finisher Model - NE Imperial'!$E$11=2,L6,IF('Finisher Model - NE Imperial'!$E$11=3,M6,IF('Finisher Model - NE Imperial'!$E$11=4,N6,IF('Finisher Model - NE Imperial'!$E$11=5,O6,IF('Finisher Model - NE Imperial'!$E$11=6,P6,"")))))</f>
        <v>2.4899268347029477</v>
      </c>
      <c r="L6">
        <f>SUM($B$17:$C$17)/SUM($B$19:$C$19)</f>
        <v>1.9095263612087732</v>
      </c>
      <c r="M6">
        <f>SUM($B$17:$D$17)/SUM($B$19:$D$19)</f>
        <v>2.0841704084924433</v>
      </c>
      <c r="N6">
        <f>SUM($B$17:$E$17)/SUM($B$19:$E$19)</f>
        <v>2.2615575543987219</v>
      </c>
      <c r="O6">
        <f>SUM($B$17:$F$17)/SUM($B$19:$F$19)</f>
        <v>2.4899268347029477</v>
      </c>
      <c r="P6" t="e">
        <f>SUM($B$17:$G$17)/SUM($B$19:$G$19)</f>
        <v>#VALUE!</v>
      </c>
    </row>
    <row r="7" spans="1:16">
      <c r="A7" t="s">
        <v>78</v>
      </c>
      <c r="B7" s="3">
        <f>B6-B5</f>
        <v>40</v>
      </c>
      <c r="C7" s="3">
        <f t="shared" ref="C7:E7" si="0">C6-C5</f>
        <v>40</v>
      </c>
      <c r="D7" s="3">
        <f t="shared" si="0"/>
        <v>50</v>
      </c>
      <c r="E7" s="3">
        <f t="shared" si="0"/>
        <v>50</v>
      </c>
      <c r="F7" s="3">
        <f>F6-F5</f>
        <v>55</v>
      </c>
      <c r="G7" s="3" t="e">
        <f>G6-G5</f>
        <v>#VALUE!</v>
      </c>
      <c r="J7" t="s">
        <v>44</v>
      </c>
      <c r="K7" s="7">
        <f>IF('Finisher Model - NE Imperial'!$E$11=2,L7,IF('Finisher Model - NE Imperial'!$E$11=3,M7,IF('Finisher Model - NE Imperial'!$E$11=4,N7,IF('Finisher Model - NE Imperial'!$E$11=5,O7,IF('Finisher Model - NE Imperial'!$E$11=6,P7,"")))))</f>
        <v>5.358867997353344</v>
      </c>
      <c r="L7" s="24">
        <f>SUM(B17:C17)/SUM(B16:C16)</f>
        <v>4.1092297388488968</v>
      </c>
      <c r="M7" s="24">
        <f>SUM(B17:D17)/SUM(B16:D16)</f>
        <v>4.485219717102721</v>
      </c>
      <c r="N7" s="24">
        <f>SUM(B17:E17)/SUM(B16:E16)</f>
        <v>4.8667447740551806</v>
      </c>
      <c r="O7" s="11">
        <f>SUM(B17:F17)/SUM(B16:F16)</f>
        <v>5.358867997353344</v>
      </c>
      <c r="P7" s="11" t="e">
        <f>SUM(B17:G17)/SUM(B16:G16)</f>
        <v>#VALUE!</v>
      </c>
    </row>
    <row r="8" spans="1:16">
      <c r="A8" t="s">
        <v>32</v>
      </c>
      <c r="B8" s="4">
        <f>'Finisher Model - NE Imperial'!H14</f>
        <v>2513.2667999999999</v>
      </c>
      <c r="C8" s="4">
        <f>'Finisher Model - NE Imperial'!H15</f>
        <v>2469.1743999999999</v>
      </c>
      <c r="D8" s="4">
        <f>'Finisher Model - NE Imperial'!H16</f>
        <v>2491.2205999999996</v>
      </c>
      <c r="E8" s="4">
        <f>'Finisher Model - NE Imperial'!H17</f>
        <v>2513.2667999999999</v>
      </c>
      <c r="F8" s="4">
        <f>'Finisher Model - NE Imperial'!H18</f>
        <v>2513.2667999999999</v>
      </c>
      <c r="G8" s="4">
        <f>'Finisher Model - NE Imperial'!H19</f>
        <v>0</v>
      </c>
      <c r="J8" t="s">
        <v>45</v>
      </c>
      <c r="K8" s="7">
        <f>IF('Finisher Model - NE Imperial'!$E$11=2,L8,IF('Finisher Model - NE Imperial'!$E$11=3,M8,IF('Finisher Model - NE Imperial'!$E$11=4,N8,IF('Finisher Model - NE Imperial'!$E$11=5,O8,IF('Finisher Model - NE Imperial'!$E$11=6,P8,"")))))</f>
        <v>110.18926114394174</v>
      </c>
      <c r="L8" s="11">
        <f>SUM(B16:C16)</f>
        <v>37.592156569440519</v>
      </c>
      <c r="M8">
        <f>SUM(B16:D16)</f>
        <v>61.1212492902606</v>
      </c>
      <c r="N8">
        <f>SUM(B16:E16)</f>
        <v>84.572914130663023</v>
      </c>
      <c r="O8">
        <f>SUM(B16:F16)</f>
        <v>110.18926114394174</v>
      </c>
      <c r="P8" s="11" t="e">
        <f>SUM(B16:G16)</f>
        <v>#VALUE!</v>
      </c>
    </row>
    <row r="9" spans="1:16">
      <c r="A9" t="s">
        <v>33</v>
      </c>
      <c r="B9" s="5">
        <f>'Finisher Model - NE Imperial'!J15</f>
        <v>279.72000000000003</v>
      </c>
      <c r="C9" s="5">
        <f>'Finisher Model - NE Imperial'!J16</f>
        <v>263.02</v>
      </c>
      <c r="D9" s="5">
        <f>'Finisher Model - NE Imperial'!J17</f>
        <v>249.4</v>
      </c>
      <c r="E9" s="5">
        <f>'Finisher Model - NE Imperial'!J18</f>
        <v>238.86</v>
      </c>
      <c r="F9" s="5">
        <f>'Finisher Model - NE Imperial'!J19</f>
        <v>232.35</v>
      </c>
      <c r="G9" s="5">
        <f>'Finisher Model - NE Imperial'!J20</f>
        <v>0</v>
      </c>
      <c r="J9" t="s">
        <v>46</v>
      </c>
      <c r="K9" s="7">
        <f>IF('Finisher Model - NE Imperial'!$E$11=2,L9,IF('Finisher Model - NE Imperial'!$E$11=3,M9,IF('Finisher Model - NE Imperial'!$E$11=4,N9,IF('Finisher Model - NE Imperial'!$E$11=5,O9,IF('Finisher Model - NE Imperial'!$E$11=6,P9,"")))))</f>
        <v>590.48970519627971</v>
      </c>
      <c r="L9" s="24">
        <f>SUM(B17:C17)</f>
        <v>154.47480772260889</v>
      </c>
      <c r="M9" s="24">
        <f>SUM(B17:D17)</f>
        <v>274.14223245062755</v>
      </c>
      <c r="N9" s="24">
        <f>SUM(B17:E17)</f>
        <v>411.59478787202181</v>
      </c>
      <c r="O9" s="24">
        <f>SUM(B17:F17)</f>
        <v>590.48970519627971</v>
      </c>
      <c r="P9" s="24">
        <f>SUM(B17:G17)</f>
        <v>590.48970519627971</v>
      </c>
    </row>
    <row r="10" spans="1:16">
      <c r="A10" t="s">
        <v>79</v>
      </c>
      <c r="B10" s="3">
        <f>AVERAGE(B5:B6)</f>
        <v>70</v>
      </c>
      <c r="C10" s="3">
        <f t="shared" ref="C10:F10" si="1">AVERAGE(C5:C6)</f>
        <v>110</v>
      </c>
      <c r="D10" s="3">
        <f t="shared" si="1"/>
        <v>155</v>
      </c>
      <c r="E10" s="3">
        <f t="shared" si="1"/>
        <v>205</v>
      </c>
      <c r="F10" s="3">
        <f t="shared" si="1"/>
        <v>257.5</v>
      </c>
      <c r="G10" s="3">
        <f>AVERAGE(G5:G6)</f>
        <v>0</v>
      </c>
      <c r="J10" s="17" t="s">
        <v>47</v>
      </c>
      <c r="K10" s="7">
        <f>IF('Finisher Model - NE Imperial'!$E$11=2,L10,IF('Finisher Model - NE Imperial'!$E$11=3,M10,IF('Finisher Model - NE Imperial'!$E$11=4,N10,IF('Finisher Model - NE Imperial'!$E$11=5,O10,IF('Finisher Model - NE Imperial'!$E$11=6,P10,"")))))</f>
        <v>73.033995994336195</v>
      </c>
      <c r="L10" s="15">
        <f>SUM(B18:C18)</f>
        <v>20.912392416629487</v>
      </c>
      <c r="M10" s="15">
        <f>SUM(B18:D18)</f>
        <v>35.83492028021341</v>
      </c>
      <c r="N10" s="17">
        <f>SUM(B18:E18)</f>
        <v>52.250878974190528</v>
      </c>
      <c r="O10" s="17">
        <f>SUM(B18:F18)</f>
        <v>73.033995994336195</v>
      </c>
      <c r="P10" s="15" t="e">
        <f>SUM(B18:G18)</f>
        <v>#VALUE!</v>
      </c>
    </row>
    <row r="11" spans="1:16" ht="16.5" thickBot="1">
      <c r="A11" t="s">
        <v>63</v>
      </c>
      <c r="B11" s="9">
        <f>IFERROR(651.36+531.33*'Finisher Model - NE Imperial'!Q17-216.9*('Finisher Model - NE Imperial'!Q17*'Finisher Model - NE Imperial'!Q17),"")</f>
        <v>975.5196680090196</v>
      </c>
      <c r="C11" s="9">
        <f>IFERROR(651.36+531.33*'Finisher Model - NE Imperial'!Q18-216.9*('Finisher Model - NE Imperial'!Q18*'Finisher Model - NE Imperial'!Q18),"")</f>
        <v>976.72869955818669</v>
      </c>
      <c r="D11" s="9">
        <f>IFERROR(651.36+531.33*'Finisher Model - NE Imperial'!Q19-216.9*('Finisher Model - NE Imperial'!Q19*'Finisher Model - NE Imperial'!Q19),"")</f>
        <v>976.21579330688758</v>
      </c>
      <c r="E11" s="9">
        <f>IFERROR(651.36+531.33*'Finisher Model - NE Imperial'!Q20-216.9*('Finisher Model - NE Imperial'!Q20*'Finisher Model - NE Imperial'!Q20),"")</f>
        <v>976.00066399135494</v>
      </c>
      <c r="F11" s="9">
        <f>IFERROR(651.36+531.33*'Finisher Model - NE Imperial'!Q21-216.9*('Finisher Model - NE Imperial'!Q21*'Finisher Model - NE Imperial'!Q21),"")</f>
        <v>976.65237343101762</v>
      </c>
      <c r="G11" s="9" t="str">
        <f>IFERROR(651.36+531.33*'Finisher Model - NE Imperial'!Q22-216.9*('Finisher Model - NE Imperial'!Q22*'Finisher Model - NE Imperial'!Q22),"")</f>
        <v/>
      </c>
      <c r="H11" s="23"/>
      <c r="J11" s="1" t="s">
        <v>48</v>
      </c>
      <c r="K11" s="20">
        <f>IF('Finisher Model - NE Imperial'!$E$11=2,L11,IF('Finisher Model - NE Imperial'!$E$11=3,M11,IF('Finisher Model - NE Imperial'!$E$11=4,N11,IF('Finisher Model - NE Imperial'!$E$11=5,O11,IF('Finisher Model - NE Imperial'!$E$11=6,P11,"")))))</f>
        <v>86.256707331609221</v>
      </c>
      <c r="L11" s="16">
        <f>SUM(B21:C21)</f>
        <v>25.423451204962355</v>
      </c>
      <c r="M11" s="16">
        <f>SUM(B21:D21)</f>
        <v>43.169470195044696</v>
      </c>
      <c r="N11" s="1">
        <f>SUM(B21:E21)</f>
        <v>62.399628669870104</v>
      </c>
      <c r="O11" s="1">
        <f>SUM(B21:F21)</f>
        <v>86.256707331609221</v>
      </c>
      <c r="P11" s="16" t="e">
        <f>SUM(B21:G21)</f>
        <v>#VALUE!</v>
      </c>
    </row>
    <row r="12" spans="1:16">
      <c r="A12" t="s">
        <v>64</v>
      </c>
      <c r="B12" s="9">
        <f>IFERROR(338.34+108.98*'Finisher Model - NE Imperial'!Q17-46.7864*('Finisher Model - NE Imperial'!Q17*'Finisher Model - NE Imperial'!Q17),"")</f>
        <v>400.94175056824304</v>
      </c>
      <c r="C12" s="9">
        <f>IFERROR(338.34+108.98*'Finisher Model - NE Imperial'!Q18-46.7864*('Finisher Model - NE Imperial'!Q18*'Finisher Model - NE Imperial'!Q18),"")</f>
        <v>401.68768395345484</v>
      </c>
      <c r="D12" s="9">
        <f>IFERROR(338.34+108.98*'Finisher Model - NE Imperial'!Q19-46.7864*('Finisher Model - NE Imperial'!Q19*'Finisher Model - NE Imperial'!Q19),"")</f>
        <v>401.79699932418862</v>
      </c>
      <c r="E12" s="9">
        <f>IFERROR(338.34+108.98*'Finisher Model - NE Imperial'!Q20-46.7864*('Finisher Model - NE Imperial'!Q20*'Finisher Model - NE Imperial'!Q20),"")</f>
        <v>401.80196066786232</v>
      </c>
      <c r="F12" s="9">
        <f>IFERROR(338.34+108.98*'Finisher Model - NE Imperial'!Q21-46.7864*('Finisher Model - NE Imperial'!Q21*'Finisher Model - NE Imperial'!Q21),"")</f>
        <v>401.7324711651035</v>
      </c>
      <c r="G12" s="9" t="str">
        <f>IFERROR(338.34+108.98*'Finisher Model - NE Imperial'!Q22-46.7864*('Finisher Model - NE Imperial'!Q22*'Finisher Model - NE Imperial'!Q22),"")</f>
        <v/>
      </c>
      <c r="J12" s="13" t="s">
        <v>55</v>
      </c>
      <c r="K12" s="7">
        <f>IF('Finisher Model - NE Imperial'!$E$11=2,L12,IF('Finisher Model - NE Imperial'!$E$11=3,M12,IF('Finisher Model - NE Imperial'!$E$11=4,N12,IF('Finisher Model - NE Imperial'!$E$11=5,O12,IF('Finisher Model - NE Imperial'!$E$11=6,P12,"")))))</f>
        <v>574.30285658713024</v>
      </c>
      <c r="L12" s="12">
        <f>SUM(B19:C19,'Finisher Model - NE Imperial'!C15)*'Finisher Model - NE Imperial'!E7</f>
        <v>261.79384674723508</v>
      </c>
      <c r="M12" s="12">
        <f>SUM(B19:D19,'Finisher Model - NE Imperial'!C15)*'Finisher Model - NE Imperial'!E7</f>
        <v>363.07084232035004</v>
      </c>
      <c r="N12" s="12">
        <f>SUM(B19:E19,'Finisher Model - NE Imperial'!C15)*'Finisher Model - NE Imperial'!E7</f>
        <v>463.9923176586608</v>
      </c>
      <c r="O12" s="12">
        <f>SUM(B19:F19,'Finisher Model - NE Imperial'!C15)*'Finisher Model - NE Imperial'!E7</f>
        <v>574.30285658713024</v>
      </c>
      <c r="P12" s="12" t="e">
        <f>SUM(B19:G19,'Finisher Model - NE Imperial'!C15)*'Finisher Model - NE Imperial'!E7</f>
        <v>#VALUE!</v>
      </c>
    </row>
    <row r="13" spans="1:16">
      <c r="A13" t="s">
        <v>65</v>
      </c>
      <c r="B13" s="6">
        <f t="shared" ref="B13:G13" si="2">(B11/B12)*1000</f>
        <v>2433.0708054884385</v>
      </c>
      <c r="C13" s="6">
        <f t="shared" si="2"/>
        <v>2431.562476462097</v>
      </c>
      <c r="D13" s="6">
        <f t="shared" si="2"/>
        <v>2429.6243997562333</v>
      </c>
      <c r="E13" s="6">
        <f t="shared" si="2"/>
        <v>2429.0589880872608</v>
      </c>
      <c r="F13" s="6">
        <f t="shared" si="2"/>
        <v>2431.1014008863481</v>
      </c>
      <c r="G13" s="6" t="e">
        <f t="shared" si="2"/>
        <v>#VALUE!</v>
      </c>
      <c r="J13" s="17" t="s">
        <v>49</v>
      </c>
      <c r="K13" s="7">
        <f>IF('Finisher Model - NE Imperial'!$E$11=2,L13,IF('Finisher Model - NE Imperial'!$E$11=3,M13,IF('Finisher Model - NE Imperial'!$E$11=4,N13,IF('Finisher Model - NE Imperial'!$E$11=5,O13,IF('Finisher Model - NE Imperial'!$E$11=6,P13,"")))))</f>
        <v>501.26886059279406</v>
      </c>
      <c r="L13" s="14">
        <f>L12-L10</f>
        <v>240.88145433060561</v>
      </c>
      <c r="M13" s="14">
        <f>M12-M10</f>
        <v>327.23592204013664</v>
      </c>
      <c r="N13" s="14">
        <f t="shared" ref="N13:O13" si="3">N12-N10</f>
        <v>411.74143868447027</v>
      </c>
      <c r="O13" s="14">
        <f t="shared" si="3"/>
        <v>501.26886059279406</v>
      </c>
      <c r="P13" s="14" t="e">
        <f>P12-P10</f>
        <v>#VALUE!</v>
      </c>
    </row>
    <row r="14" spans="1:16" ht="16.5" thickBot="1">
      <c r="A14" t="s">
        <v>67</v>
      </c>
      <c r="B14" s="7">
        <f>B13/B11</f>
        <v>2.4941278841196488</v>
      </c>
      <c r="C14" s="7">
        <f t="shared" ref="C14:G14" si="4">C13/C11</f>
        <v>2.4894962926368289</v>
      </c>
      <c r="D14" s="7">
        <f t="shared" si="4"/>
        <v>2.4888189849151985</v>
      </c>
      <c r="E14" s="7">
        <f t="shared" si="4"/>
        <v>2.4887882536407542</v>
      </c>
      <c r="F14" s="7">
        <f t="shared" si="4"/>
        <v>2.4892187507268271</v>
      </c>
      <c r="G14" s="7" t="e">
        <f t="shared" si="4"/>
        <v>#VALUE!</v>
      </c>
      <c r="J14" s="1" t="s">
        <v>50</v>
      </c>
      <c r="K14" s="20">
        <f>IF('Finisher Model - NE Imperial'!$E$11=2,L14,IF('Finisher Model - NE Imperial'!$E$11=3,M14,IF('Finisher Model - NE Imperial'!$E$11=4,N14,IF('Finisher Model - NE Imperial'!$E$11=5,O14,IF('Finisher Model - NE Imperial'!$E$11=6,P14,"")))))</f>
        <v>488.04614925552102</v>
      </c>
      <c r="L14" s="16">
        <f>L12-L11</f>
        <v>236.37039554227272</v>
      </c>
      <c r="M14" s="16">
        <f>M12-M11</f>
        <v>319.90137212530533</v>
      </c>
      <c r="N14" s="16">
        <f t="shared" ref="N14:O14" si="5">N12-N11</f>
        <v>401.59268898879071</v>
      </c>
      <c r="O14" s="16">
        <f t="shared" si="5"/>
        <v>488.04614925552102</v>
      </c>
      <c r="P14" s="16" t="e">
        <f>P12-P11</f>
        <v>#VALUE!</v>
      </c>
    </row>
    <row r="15" spans="1:16">
      <c r="A15" t="s">
        <v>88</v>
      </c>
      <c r="B15" s="44">
        <f>IF('Finisher Model - NE Imperial'!E11=2,SUMPRODUCT(B14:C14,B16:C16)/SUM(B16:C16),IF('Finisher Model - NE Imperial'!E11=3,SUMPRODUCT(B14:D14,B16:D16)/SUM(B16:D16),IF('Finisher Model - NE Imperial'!E11=4,SUMPRODUCT(B14:E14,B16:E16)/SUM(B16:E16),IF('Finisher Model - NE Imperial'!E11=5,SUMPRODUCT(B14:F14,B16:F16)/SUM(B16:F16),IF('Finisher Model - NE Imperial'!E11=6,SUMPRODUCT(B14:G14,B16:G16)/SUM(B16:G16),"")))))</f>
        <v>2.4899268347029482</v>
      </c>
      <c r="C15" s="7"/>
      <c r="D15" s="7"/>
      <c r="E15" s="7"/>
      <c r="F15" s="7"/>
      <c r="G15" s="7"/>
      <c r="J15" s="47" t="s">
        <v>89</v>
      </c>
      <c r="K15" s="7">
        <f>IF('Finisher Model - NE Imperial'!$E$11=2,L15,IF('Finisher Model - NE Imperial'!$E$11=3,M15,IF('Finisher Model - NE Imperial'!$E$11=4,N15,IF('Finisher Model - NE Imperial'!$E$11=5,O15,IF('Finisher Model - NE Imperial'!$E$11=6,P15,"")))))</f>
        <v>218.1531085313635</v>
      </c>
      <c r="L15" s="23">
        <f>C25</f>
        <v>218.1531085313635</v>
      </c>
      <c r="M15" s="23">
        <f>D25</f>
        <v>218.1531085313635</v>
      </c>
      <c r="N15" s="23">
        <f>E25</f>
        <v>218.1531085313635</v>
      </c>
      <c r="O15" s="23">
        <f>F25</f>
        <v>218.1531085313635</v>
      </c>
      <c r="P15" s="23">
        <f>G25</f>
        <v>218.1531085313635</v>
      </c>
    </row>
    <row r="16" spans="1:16">
      <c r="A16" t="s">
        <v>41</v>
      </c>
      <c r="B16" s="22">
        <f>'Current Performance - NE '!B16</f>
        <v>18.803871578509852</v>
      </c>
      <c r="C16" s="22">
        <f>'Current Performance - NE '!C16</f>
        <v>18.78828499093067</v>
      </c>
      <c r="D16" s="22">
        <f>'Current Performance - NE '!D16</f>
        <v>23.529092720820081</v>
      </c>
      <c r="E16" s="22">
        <f>'Current Performance - NE '!E16</f>
        <v>23.451664840402422</v>
      </c>
      <c r="F16" s="22">
        <f>'Current Performance - NE '!F16</f>
        <v>25.616347013278709</v>
      </c>
      <c r="G16" s="22" t="e">
        <f>'Current Performance - NE '!G16</f>
        <v>#VALUE!</v>
      </c>
      <c r="H16" s="11">
        <f>IF('Finisher Model - NE Imperial'!E11=2,SUM(B16:C16),IF('Finisher Model - NE Imperial'!E11=3,SUM(B16:D16),IF('Finisher Model - NE Imperial'!E11=4,SUM(B16:E16),IF('Finisher Model - NE Imperial'!E11=5,SUM(B16:F16),IF('Finisher Model - NE Imperial'!E11=6,SUM(B16:G16),"")))))</f>
        <v>110.18926114394174</v>
      </c>
      <c r="J16" t="s">
        <v>56</v>
      </c>
      <c r="K16" s="7">
        <f>IF('Finisher Model - NE Imperial'!$E$11=2,L16,IF('Finisher Model - NE Imperial'!$E$11=3,M16,IF('Finisher Model - NE Imperial'!$E$11=4,N16,IF('Finisher Model - NE Imperial'!$E$11=5,O16,IF('Finisher Model - NE Imperial'!$E$11=6,P16,"")))))</f>
        <v>218.1531085313635</v>
      </c>
      <c r="L16">
        <f>SUM(L15*'Finisher Model - NE Imperial'!$E$8)</f>
        <v>218.1531085313635</v>
      </c>
      <c r="M16">
        <f>SUM(M15*'Finisher Model - NE Imperial'!$E$8)</f>
        <v>218.1531085313635</v>
      </c>
      <c r="N16">
        <f>SUM(N15*'Finisher Model - NE Imperial'!$E$8)</f>
        <v>218.1531085313635</v>
      </c>
      <c r="O16">
        <f>SUM(O15*'Finisher Model - NE Imperial'!$E$8)</f>
        <v>218.1531085313635</v>
      </c>
      <c r="P16">
        <f>SUM(P15*'Finisher Model - NE Imperial'!$E$8)</f>
        <v>218.1531085313635</v>
      </c>
    </row>
    <row r="17" spans="1:16">
      <c r="A17" t="s">
        <v>68</v>
      </c>
      <c r="B17" s="25">
        <f>D43</f>
        <v>71.546162039424289</v>
      </c>
      <c r="C17" s="25">
        <f>D44</f>
        <v>82.928645683184612</v>
      </c>
      <c r="D17" s="25">
        <f>D45</f>
        <v>119.66742472801866</v>
      </c>
      <c r="E17" s="25">
        <f>D46</f>
        <v>137.45255542139427</v>
      </c>
      <c r="F17" s="25">
        <f>D47</f>
        <v>178.8949173242579</v>
      </c>
      <c r="G17" s="25" t="str">
        <f>D48</f>
        <v/>
      </c>
      <c r="H17" s="11"/>
      <c r="J17" t="s">
        <v>57</v>
      </c>
      <c r="K17" s="7">
        <f>IF('Finisher Model - NE Imperial'!$E$11=2,L17,IF('Finisher Model - NE Imperial'!$E$11=3,M17,IF('Finisher Model - NE Imperial'!$E$11=4,N17,IF('Finisher Model - NE Imperial'!$E$11=5,O17,IF('Finisher Model - NE Imperial'!$E$11=6,P17,"")))))</f>
        <v>145.11911253702732</v>
      </c>
      <c r="L17" s="11">
        <f>L16-L10</f>
        <v>197.24071611473403</v>
      </c>
      <c r="M17" s="11">
        <f>M16-M10</f>
        <v>182.3181882511501</v>
      </c>
      <c r="N17">
        <f>N16-N10</f>
        <v>165.90222955717297</v>
      </c>
      <c r="O17">
        <f>O16-O10</f>
        <v>145.11911253702732</v>
      </c>
      <c r="P17" s="11" t="e">
        <f>P16-P10</f>
        <v>#VALUE!</v>
      </c>
    </row>
    <row r="18" spans="1:16" ht="16.5" thickBot="1">
      <c r="A18" t="s">
        <v>34</v>
      </c>
      <c r="B18" s="6">
        <f>(B17*(B9/2000))</f>
        <v>10.006446222833882</v>
      </c>
      <c r="C18" s="6">
        <f t="shared" ref="C18:E18" si="6">(C17*(C9/2000))</f>
        <v>10.905946193795607</v>
      </c>
      <c r="D18" s="6">
        <f t="shared" si="6"/>
        <v>14.922527863583927</v>
      </c>
      <c r="E18" s="6">
        <f t="shared" si="6"/>
        <v>16.415958693977117</v>
      </c>
      <c r="F18" s="6">
        <f>(F17*(F9/2000))</f>
        <v>20.783117020145664</v>
      </c>
      <c r="G18" s="6" t="e">
        <f>(G17*(G9/2000))</f>
        <v>#VALUE!</v>
      </c>
      <c r="H18" s="11"/>
      <c r="J18" s="1" t="s">
        <v>59</v>
      </c>
      <c r="K18" s="20">
        <f>IF('Finisher Model - NE Imperial'!$E$11=2,L18,IF('Finisher Model - NE Imperial'!$E$11=3,M18,IF('Finisher Model - NE Imperial'!$E$11=4,N18,IF('Finisher Model - NE Imperial'!$E$11=5,O18,IF('Finisher Model - NE Imperial'!$E$11=6,P18,"")))))</f>
        <v>131.89640119975428</v>
      </c>
      <c r="L18" s="16">
        <f>L16-L11</f>
        <v>192.72965732640114</v>
      </c>
      <c r="M18" s="16">
        <f>M16-M11</f>
        <v>174.98363833631879</v>
      </c>
      <c r="N18" s="1">
        <f>N16-N11</f>
        <v>155.75347986149339</v>
      </c>
      <c r="O18" s="1">
        <f>O16-O11</f>
        <v>131.89640119975428</v>
      </c>
      <c r="P18" s="16" t="e">
        <f>P16-P11</f>
        <v>#VALUE!</v>
      </c>
    </row>
    <row r="19" spans="1:16">
      <c r="A19" t="s">
        <v>35</v>
      </c>
      <c r="B19" s="6">
        <f t="shared" ref="B19:G19" si="7">B11/1000*B16*2.2046</f>
        <v>40.440182745188714</v>
      </c>
      <c r="C19" s="6">
        <f t="shared" si="7"/>
        <v>40.45674062842884</v>
      </c>
      <c r="D19" s="6">
        <f t="shared" si="7"/>
        <v>50.638497786557451</v>
      </c>
      <c r="E19" s="6">
        <f t="shared" si="7"/>
        <v>50.460737669155364</v>
      </c>
      <c r="F19" s="6">
        <f t="shared" si="7"/>
        <v>55.155269464234756</v>
      </c>
      <c r="G19" s="6" t="e">
        <f t="shared" si="7"/>
        <v>#VALUE!</v>
      </c>
      <c r="H19" s="11">
        <f>IF('Finisher Model - NE Imperial'!E11=2,SUM(B19:C19)+'Finisher Model - NE Imperial'!C15,IF('Finisher Model - NE Imperial'!E11=3,SUM(B19:D19)+'Finisher Model - NE Imperial'!C15,IF('Finisher Model - NE Imperial'!E11=4,SUM(B19:E19)+'Finisher Model - NE Imperial'!C15,IF('Finisher Model - NE Imperial'!E11=5,SUM(B19:F19)+'Finisher Model - NE Imperial'!C15,IF('Finisher Model - NE Imperial'!E11=6,SUM(B19:G19)+'Finisher Model - NE Imperial'!C15,"")))))</f>
        <v>287.15142829356512</v>
      </c>
      <c r="I19" s="6">
        <f>CONVERT(H19,"lbm","kg")</f>
        <v>130.24969690856327</v>
      </c>
    </row>
    <row r="20" spans="1:16">
      <c r="A20" t="s">
        <v>36</v>
      </c>
      <c r="B20" s="7">
        <f t="shared" ref="B20:G20" si="8">B18/((B11*0.00220462)*B16)</f>
        <v>0.24743596013950406</v>
      </c>
      <c r="C20" s="7">
        <f t="shared" si="8"/>
        <v>0.26956811367386363</v>
      </c>
      <c r="D20" s="7">
        <f t="shared" si="8"/>
        <v>0.29468473870266831</v>
      </c>
      <c r="E20" s="7">
        <f t="shared" si="8"/>
        <v>0.32531846597958369</v>
      </c>
      <c r="F20" s="7">
        <f t="shared" si="8"/>
        <v>0.37680766825247686</v>
      </c>
      <c r="G20" s="7" t="e">
        <f t="shared" si="8"/>
        <v>#VALUE!</v>
      </c>
    </row>
    <row r="21" spans="1:16">
      <c r="A21" t="s">
        <v>37</v>
      </c>
      <c r="B21" s="7">
        <f>B18+(B16*'Finisher Model - NE Imperial'!$E$10)</f>
        <v>12.262910812255065</v>
      </c>
      <c r="C21" s="7">
        <f>C18+(C16*'Finisher Model - NE Imperial'!$E$10)</f>
        <v>13.160540392707288</v>
      </c>
      <c r="D21" s="7">
        <f>D18+(D16*'Finisher Model - NE Imperial'!$E$10)</f>
        <v>17.746018990082337</v>
      </c>
      <c r="E21" s="7">
        <f>E18+(E16*'Finisher Model - NE Imperial'!$E$10)</f>
        <v>19.230158474825409</v>
      </c>
      <c r="F21" s="7">
        <f>F18+(F16*'Finisher Model - NE Imperial'!$E$10)</f>
        <v>23.857078661739109</v>
      </c>
      <c r="G21" s="7" t="e">
        <f>G18+(G16*'Finisher Model - NE Imperial'!$E$10)</f>
        <v>#VALUE!</v>
      </c>
      <c r="I21" s="29"/>
      <c r="K21" s="7"/>
      <c r="L21" s="7"/>
    </row>
    <row r="22" spans="1:16">
      <c r="A22" t="s">
        <v>38</v>
      </c>
      <c r="B22" s="7">
        <f>B19*'Finisher Model - NE Imperial'!$E$7</f>
        <v>80.880365490377429</v>
      </c>
      <c r="C22" s="7">
        <f>C19*'Finisher Model - NE Imperial'!$E$7</f>
        <v>80.913481256857679</v>
      </c>
      <c r="D22" s="7">
        <f>D19*'Finisher Model - NE Imperial'!$E$7</f>
        <v>101.2769955731149</v>
      </c>
      <c r="E22" s="7">
        <f>E19*'Finisher Model - NE Imperial'!$E$7</f>
        <v>100.92147533831073</v>
      </c>
      <c r="F22" s="7">
        <f>F19*'Finisher Model - NE Imperial'!$E$7</f>
        <v>110.31053892846951</v>
      </c>
      <c r="G22" s="7" t="e">
        <f>G19*'Finisher Model - NE Imperial'!$E$7</f>
        <v>#VALUE!</v>
      </c>
      <c r="K22" s="7"/>
      <c r="L22" s="7"/>
    </row>
    <row r="23" spans="1:16">
      <c r="A23" t="s">
        <v>39</v>
      </c>
      <c r="B23" s="7">
        <f t="shared" ref="B23:G23" si="9">B22-B18</f>
        <v>70.873919267543542</v>
      </c>
      <c r="C23" s="7">
        <f t="shared" si="9"/>
        <v>70.007535063062079</v>
      </c>
      <c r="D23" s="7">
        <f t="shared" si="9"/>
        <v>86.354467709530979</v>
      </c>
      <c r="E23" s="7">
        <f t="shared" si="9"/>
        <v>84.505516644333611</v>
      </c>
      <c r="F23" s="7">
        <f t="shared" si="9"/>
        <v>89.527421908323845</v>
      </c>
      <c r="G23" s="7" t="e">
        <f t="shared" si="9"/>
        <v>#VALUE!</v>
      </c>
    </row>
    <row r="24" spans="1:16">
      <c r="A24" t="s">
        <v>40</v>
      </c>
      <c r="B24" s="7">
        <f t="shared" ref="B24:G24" si="10">B22-B21</f>
        <v>68.617454678122357</v>
      </c>
      <c r="C24" s="7">
        <f t="shared" si="10"/>
        <v>67.752940864150389</v>
      </c>
      <c r="D24" s="7">
        <f t="shared" si="10"/>
        <v>83.530976583032569</v>
      </c>
      <c r="E24" s="7">
        <f t="shared" si="10"/>
        <v>81.691316863485326</v>
      </c>
      <c r="F24" s="7">
        <f t="shared" si="10"/>
        <v>86.453460266730403</v>
      </c>
      <c r="G24" s="7" t="e">
        <f t="shared" si="10"/>
        <v>#VALUE!</v>
      </c>
    </row>
    <row r="25" spans="1:16">
      <c r="A25" t="s">
        <v>177</v>
      </c>
      <c r="B25" s="6">
        <f>$H$19*IF('Finisher Model - NE Imperial'!$E$9&lt;76,'FT - Projected Performance - NE'!B$33,'FT - Projected Performance - NE'!$B$34)/100</f>
        <v>218.1531085313635</v>
      </c>
      <c r="C25" s="6">
        <f>$H$19*IF('Finisher Model - NE Imperial'!$E$9&lt;76,'FT - Projected Performance - NE'!C$33,'FT - Projected Performance - NE'!$B$34)/100</f>
        <v>218.1531085313635</v>
      </c>
      <c r="D25" s="6">
        <f>$H$19*IF('Finisher Model - NE Imperial'!$E$9&lt;76,'FT - Projected Performance - NE'!D$33,'FT - Projected Performance - NE'!$B$34)/100</f>
        <v>218.1531085313635</v>
      </c>
      <c r="E25" s="6">
        <f>$H$19*IF('Finisher Model - NE Imperial'!$E$9&lt;76,'FT - Projected Performance - NE'!E$33,'FT - Projected Performance - NE'!$B$34)/100</f>
        <v>218.1531085313635</v>
      </c>
      <c r="F25" s="6">
        <f>$H$19*IF('Finisher Model - NE Imperial'!$E$9&lt;76,'FT - Projected Performance - NE'!F$33,'FT - Projected Performance - NE'!$B$34)/100</f>
        <v>218.1531085313635</v>
      </c>
      <c r="G25" s="6">
        <f>$H$19*IF('Finisher Model - NE Imperial'!$E$9&lt;76,'FT - Projected Performance - NE'!G$33,'FT - Projected Performance - NE'!$B$34)/100</f>
        <v>218.1531085313635</v>
      </c>
    </row>
    <row r="26" spans="1:16">
      <c r="A26" t="s">
        <v>176</v>
      </c>
      <c r="B26" s="76">
        <f t="shared" ref="B26:G26" si="11">(VLOOKUP($I$19,$C$55:$I$94,7,TRUE))*100</f>
        <v>74.922166093909382</v>
      </c>
      <c r="C26" s="258">
        <f t="shared" si="11"/>
        <v>74.922166093909382</v>
      </c>
      <c r="D26" s="258">
        <f t="shared" si="11"/>
        <v>74.922166093909382</v>
      </c>
      <c r="E26" s="258">
        <f t="shared" si="11"/>
        <v>74.922166093909382</v>
      </c>
      <c r="F26" s="258">
        <f t="shared" si="11"/>
        <v>74.922166093909382</v>
      </c>
      <c r="G26" s="258">
        <f t="shared" si="11"/>
        <v>74.922166093909382</v>
      </c>
    </row>
    <row r="27" spans="1:16">
      <c r="A27" t="s">
        <v>107</v>
      </c>
      <c r="B27" s="6">
        <f>'Finisher Model - NE Imperial'!E9</f>
        <v>76</v>
      </c>
      <c r="C27" s="6"/>
      <c r="D27" s="6"/>
      <c r="E27" s="6"/>
      <c r="F27" s="6"/>
      <c r="G27" s="6"/>
    </row>
    <row r="28" spans="1:16">
      <c r="A28" t="s">
        <v>108</v>
      </c>
      <c r="B28" s="54">
        <f>B27/B26</f>
        <v>1.0143860483790557</v>
      </c>
      <c r="C28" s="6"/>
      <c r="D28" s="6"/>
      <c r="E28" s="6"/>
      <c r="F28" s="6"/>
      <c r="G28" s="6"/>
      <c r="J28" t="s">
        <v>166</v>
      </c>
    </row>
    <row r="29" spans="1:16">
      <c r="A29" t="s">
        <v>181</v>
      </c>
      <c r="B29" s="54">
        <f>'Finisher Model - NE Imperial'!Q17</f>
        <v>1.3002550714245924</v>
      </c>
      <c r="C29" s="54">
        <f>'Finisher Model - NE Imperial'!Q18</f>
        <v>1.2140923625717377</v>
      </c>
      <c r="D29" s="54">
        <f>'Finisher Model - NE Imperial'!Q19</f>
        <v>1.175028035038777</v>
      </c>
      <c r="E29" s="54">
        <f>'Finisher Model - NE Imperial'!Q20</f>
        <v>1.1659052610635772</v>
      </c>
      <c r="F29" s="54">
        <f>'Finisher Model - NE Imperial'!Q21</f>
        <v>1.2032139129427619</v>
      </c>
      <c r="G29" s="54" t="str">
        <f>'Finisher Model - NE Imperial'!Q22</f>
        <v/>
      </c>
      <c r="H29">
        <f>IF('Finisher Model - NE Imperial'!E11=2,SUMPRODUCT(B29:C29,B16:C16)/SUM(B16:C16),IF('Finisher Model - NE Imperial'!E11=3,SUMPRODUCT(B29:D29,B16:D16)/SUM(B16:D16),IF('Finisher Model - NE Imperial'!E11=4,SUMPRODUCT(B29:E29,B16:E16)/SUM(B16:E16),IF('Finisher Model - NE Imperial'!E11=5,SUMPRODUCT(B29:F29,B16:F16)/SUM(B16:F16),IF('Finisher Model - NE Imperial'!E11=6,SUMPRODUCT(B29:G29,B16:G16)/SUM(B16:G16),"")))))</f>
        <v>1.2076698713054463</v>
      </c>
    </row>
    <row r="30" spans="1:16">
      <c r="A30" t="s">
        <v>179</v>
      </c>
      <c r="B30" s="6">
        <f>73.859-1.19192*H29</f>
        <v>72.419554126993603</v>
      </c>
      <c r="C30" s="6"/>
      <c r="D30" s="6"/>
      <c r="E30" s="6"/>
      <c r="F30" s="6"/>
      <c r="G30" s="6"/>
      <c r="J30" t="s">
        <v>167</v>
      </c>
    </row>
    <row r="31" spans="1:16">
      <c r="A31" t="s">
        <v>171</v>
      </c>
      <c r="B31" s="6">
        <f>73.859-1.19192*1</f>
        <v>72.667079999999999</v>
      </c>
      <c r="C31" s="6"/>
      <c r="D31" s="6"/>
      <c r="E31" s="6"/>
      <c r="F31" s="6"/>
      <c r="G31" s="6"/>
    </row>
    <row r="32" spans="1:16">
      <c r="A32" t="s">
        <v>173</v>
      </c>
      <c r="B32" s="54">
        <f>B30/B31</f>
        <v>0.99659370002198522</v>
      </c>
      <c r="C32" s="3"/>
      <c r="D32" s="3"/>
      <c r="E32" s="3"/>
      <c r="F32" s="3"/>
      <c r="G32" s="3"/>
    </row>
    <row r="33" spans="1:7">
      <c r="A33" t="s">
        <v>174</v>
      </c>
      <c r="B33" s="260">
        <f t="shared" ref="B33:G33" si="12">(VLOOKUP($I$19,$C$55:$K$94,9,TRUE))</f>
        <v>75.741121201670879</v>
      </c>
      <c r="C33" s="70">
        <f t="shared" si="12"/>
        <v>75.741121201670879</v>
      </c>
      <c r="D33" s="70">
        <f t="shared" si="12"/>
        <v>75.741121201670879</v>
      </c>
      <c r="E33" s="70">
        <f t="shared" si="12"/>
        <v>75.741121201670879</v>
      </c>
      <c r="F33" s="70">
        <f t="shared" si="12"/>
        <v>75.741121201670879</v>
      </c>
      <c r="G33" s="70">
        <f t="shared" si="12"/>
        <v>75.741121201670879</v>
      </c>
    </row>
    <row r="34" spans="1:7">
      <c r="A34" t="s">
        <v>243</v>
      </c>
      <c r="B34" s="76">
        <f>'Current Performance - NE '!B36</f>
        <v>75.971451658021294</v>
      </c>
      <c r="C34" s="76"/>
      <c r="D34" s="76"/>
      <c r="E34" s="76"/>
      <c r="F34" s="76"/>
      <c r="G34" s="76"/>
    </row>
    <row r="35" spans="1:7">
      <c r="B35" s="76"/>
      <c r="C35" s="76"/>
      <c r="D35" s="76"/>
      <c r="E35" s="76"/>
      <c r="F35" s="76"/>
      <c r="G35" s="76"/>
    </row>
    <row r="36" spans="1:7" ht="16.5" thickBot="1"/>
    <row r="37" spans="1:7" ht="16.5" thickBot="1">
      <c r="B37" s="319" t="s">
        <v>69</v>
      </c>
      <c r="C37" s="320"/>
      <c r="D37" s="320"/>
      <c r="E37" s="321"/>
    </row>
    <row r="38" spans="1:7" ht="16.5" thickBot="1">
      <c r="B38" s="309" t="s">
        <v>70</v>
      </c>
      <c r="C38" s="310"/>
      <c r="D38" s="310"/>
      <c r="E38" s="311"/>
    </row>
    <row r="39" spans="1:7" ht="16.5" thickBot="1">
      <c r="B39" s="35" t="s">
        <v>71</v>
      </c>
      <c r="C39" s="39" t="s">
        <v>72</v>
      </c>
      <c r="D39" s="39" t="s">
        <v>73</v>
      </c>
      <c r="E39" s="33"/>
    </row>
    <row r="40" spans="1:7" ht="16.5" thickBot="1">
      <c r="B40" s="40">
        <f>'Finisher Model - NE Imperial'!C15</f>
        <v>50</v>
      </c>
      <c r="C40" s="97">
        <f>H19</f>
        <v>287.15142829356512</v>
      </c>
      <c r="D40" s="39">
        <f>B15</f>
        <v>2.4899268347029482</v>
      </c>
      <c r="E40" s="33"/>
    </row>
    <row r="41" spans="1:7">
      <c r="B41" s="35"/>
      <c r="C41" s="32"/>
      <c r="D41" s="32"/>
      <c r="E41" s="41"/>
    </row>
    <row r="42" spans="1:7">
      <c r="B42" s="35" t="s">
        <v>71</v>
      </c>
      <c r="C42" s="32" t="s">
        <v>72</v>
      </c>
      <c r="D42" s="42" t="s">
        <v>74</v>
      </c>
      <c r="E42" s="36">
        <f>IF(B43=0,F42,((0.00463*B43^2 + 1.68*B43 - 22.05)/(((0.00463*C40^2 + 1.68*C40 - 22.05)-(0.00463*B40^2 + 1.68*B40 - 22.05))/(C40-B40))*D40))</f>
        <v>56.486036035871834</v>
      </c>
    </row>
    <row r="43" spans="1:7">
      <c r="A43">
        <v>1</v>
      </c>
      <c r="B43" s="31">
        <f>'Finisher Model - NE Imperial'!C15</f>
        <v>50</v>
      </c>
      <c r="C43" s="37">
        <f>'Finisher Model - NE Imperial'!D15</f>
        <v>90</v>
      </c>
      <c r="D43" s="43">
        <f>IF(C43="","",(E43-E42))</f>
        <v>71.546162039424289</v>
      </c>
      <c r="E43" s="36">
        <f t="shared" ref="E43:E48" si="13">IF(B44="","",((0.00463*B44^2 + 1.68*B44 - 22.05)/(((0.00463*$C$40^2 + 1.68*$C$40 - 22.05)-(0.00463*$B$40^2 + 1.68*$B$40 - 22.05))/($C$40-$B$40))*$D$40))</f>
        <v>128.03219807529612</v>
      </c>
    </row>
    <row r="44" spans="1:7">
      <c r="A44">
        <v>2</v>
      </c>
      <c r="B44" s="31">
        <f t="shared" ref="B44:B46" si="14">C43</f>
        <v>90</v>
      </c>
      <c r="C44" s="37">
        <f>IF('Finisher Model - NE Imperial'!E11=2,H19,'Finisher Model - NE Imperial'!D16)</f>
        <v>130</v>
      </c>
      <c r="D44" s="43">
        <f t="shared" ref="D44:D47" si="15">IF(C44="","",(E44-E43))</f>
        <v>82.928645683184612</v>
      </c>
      <c r="E44" s="36">
        <f t="shared" si="13"/>
        <v>210.96084375848073</v>
      </c>
    </row>
    <row r="45" spans="1:7">
      <c r="A45">
        <v>3</v>
      </c>
      <c r="B45" s="31">
        <f t="shared" si="14"/>
        <v>130</v>
      </c>
      <c r="C45" s="37">
        <f>IF('Finisher Model - NE Imperial'!E11=3,H19,'Finisher Model - NE Imperial'!D17)</f>
        <v>180</v>
      </c>
      <c r="D45" s="43">
        <f t="shared" si="15"/>
        <v>119.66742472801866</v>
      </c>
      <c r="E45" s="36">
        <f t="shared" si="13"/>
        <v>330.62826848649939</v>
      </c>
    </row>
    <row r="46" spans="1:7">
      <c r="A46">
        <v>4</v>
      </c>
      <c r="B46" s="35">
        <f t="shared" si="14"/>
        <v>180</v>
      </c>
      <c r="C46" s="37">
        <f>IF('Finisher Model - NE Imperial'!E11=4,H19,'Finisher Model - NE Imperial'!D18)</f>
        <v>230</v>
      </c>
      <c r="D46" s="43">
        <f>IF(C46="","",(E46-E45))</f>
        <v>137.45255542139427</v>
      </c>
      <c r="E46" s="36">
        <f t="shared" si="13"/>
        <v>468.08082390789366</v>
      </c>
    </row>
    <row r="47" spans="1:7">
      <c r="A47">
        <v>5</v>
      </c>
      <c r="B47" s="31">
        <f>C46</f>
        <v>230</v>
      </c>
      <c r="C47" s="37">
        <f>IF('Finisher Model - NE Imperial'!E11=5,H19,'Finisher Model - NE Imperial'!D19)</f>
        <v>287.15142829356512</v>
      </c>
      <c r="D47" s="43">
        <f t="shared" si="15"/>
        <v>178.8949173242579</v>
      </c>
      <c r="E47" s="36">
        <f t="shared" si="13"/>
        <v>646.97574123215156</v>
      </c>
    </row>
    <row r="48" spans="1:7" ht="16.5" thickBot="1">
      <c r="A48">
        <v>6</v>
      </c>
      <c r="B48" s="38">
        <f>C47</f>
        <v>287.15142829356512</v>
      </c>
      <c r="C48" s="62" t="str">
        <f>IF('Finisher Model - NE Imperial'!E11=6,H19,"")</f>
        <v/>
      </c>
      <c r="D48" s="65" t="str">
        <f>IF(C48="","",(E48-E47))</f>
        <v/>
      </c>
      <c r="E48" s="66" t="str">
        <f t="shared" si="13"/>
        <v/>
      </c>
    </row>
    <row r="49" spans="2:11">
      <c r="B49" s="23" t="str">
        <f>C48</f>
        <v/>
      </c>
    </row>
    <row r="53" spans="2:11" ht="57.75">
      <c r="B53" s="48" t="s">
        <v>92</v>
      </c>
      <c r="C53" s="48" t="s">
        <v>93</v>
      </c>
      <c r="D53" s="316" t="s">
        <v>94</v>
      </c>
      <c r="E53" s="316"/>
      <c r="F53" s="316"/>
      <c r="G53" s="55"/>
      <c r="H53" s="5"/>
      <c r="I53" s="317" t="s">
        <v>95</v>
      </c>
    </row>
    <row r="54" spans="2:11">
      <c r="B54" s="49" t="s">
        <v>96</v>
      </c>
      <c r="C54" s="49" t="s">
        <v>96</v>
      </c>
      <c r="D54" s="49" t="s">
        <v>97</v>
      </c>
      <c r="E54" s="49" t="s">
        <v>98</v>
      </c>
      <c r="F54" s="49" t="s">
        <v>99</v>
      </c>
      <c r="G54" s="49"/>
      <c r="H54" s="49"/>
      <c r="I54" s="318"/>
      <c r="J54" s="49" t="s">
        <v>109</v>
      </c>
      <c r="K54" t="s">
        <v>170</v>
      </c>
    </row>
    <row r="55" spans="2:11">
      <c r="B55" s="48">
        <v>81</v>
      </c>
      <c r="C55" s="50">
        <v>110.17670623134534</v>
      </c>
      <c r="D55" s="6">
        <v>16.864782047899471</v>
      </c>
      <c r="E55" s="6">
        <v>14.510728742835685</v>
      </c>
      <c r="F55" s="50">
        <v>15.687755395367578</v>
      </c>
      <c r="G55" s="50"/>
      <c r="H55" s="51"/>
      <c r="I55" s="52">
        <v>0.73518262408316082</v>
      </c>
      <c r="J55" s="70">
        <f>(I55*$B$28)*100</f>
        <v>74.575899688066229</v>
      </c>
      <c r="K55" s="94">
        <f>J55*$B$32</f>
        <v>74.321871802598338</v>
      </c>
    </row>
    <row r="56" spans="2:11">
      <c r="B56" s="48">
        <v>82</v>
      </c>
      <c r="C56" s="50">
        <v>111.4039519642067</v>
      </c>
      <c r="D56" s="6">
        <v>17.074455706764272</v>
      </c>
      <c r="E56" s="6">
        <v>14.613701440729169</v>
      </c>
      <c r="F56" s="50">
        <v>15.844078573746721</v>
      </c>
      <c r="G56" s="50"/>
      <c r="H56" s="51"/>
      <c r="I56" s="52">
        <v>0.73606006388665657</v>
      </c>
      <c r="J56" s="70">
        <f t="shared" ref="J56:J94" si="16">(I56*$B$28)*100</f>
        <v>74.664905957562084</v>
      </c>
      <c r="K56" s="94">
        <f t="shared" ref="K56:K94" si="17">J56*$B$32</f>
        <v>74.410574890040365</v>
      </c>
    </row>
    <row r="57" spans="2:11">
      <c r="B57" s="48">
        <v>83</v>
      </c>
      <c r="C57" s="50">
        <v>112.6282752396024</v>
      </c>
      <c r="D57" s="6">
        <v>17.284147265806148</v>
      </c>
      <c r="E57" s="6">
        <v>14.71614342750836</v>
      </c>
      <c r="F57" s="50">
        <v>16.000145346657256</v>
      </c>
      <c r="G57" s="50"/>
      <c r="H57" s="51"/>
      <c r="I57" s="52">
        <v>0.73693750369015243</v>
      </c>
      <c r="J57" s="70">
        <f t="shared" si="16"/>
        <v>74.753912227057953</v>
      </c>
      <c r="K57" s="94">
        <f t="shared" si="17"/>
        <v>74.499277977482407</v>
      </c>
    </row>
    <row r="58" spans="2:11">
      <c r="B58" s="48">
        <v>84</v>
      </c>
      <c r="C58" s="50">
        <v>113.84968648405146</v>
      </c>
      <c r="D58" s="6">
        <v>17.493856510850449</v>
      </c>
      <c r="E58" s="6">
        <v>14.81806378371237</v>
      </c>
      <c r="F58" s="50">
        <v>16.155960147281409</v>
      </c>
      <c r="G58" s="50"/>
      <c r="H58" s="51"/>
      <c r="I58" s="52">
        <v>0.73781494349364829</v>
      </c>
      <c r="J58" s="70">
        <f t="shared" si="16"/>
        <v>74.842918496553807</v>
      </c>
      <c r="K58" s="94">
        <f t="shared" si="17"/>
        <v>74.587981064924435</v>
      </c>
    </row>
    <row r="59" spans="2:11">
      <c r="B59" s="48">
        <v>85</v>
      </c>
      <c r="C59" s="50">
        <v>115.06819607453319</v>
      </c>
      <c r="D59" s="6">
        <v>17.703583232804778</v>
      </c>
      <c r="E59" s="6">
        <v>14.919471328516645</v>
      </c>
      <c r="F59" s="50">
        <v>16.311527280660712</v>
      </c>
      <c r="G59" s="50"/>
      <c r="H59" s="51"/>
      <c r="I59" s="52">
        <v>0.73869238329714404</v>
      </c>
      <c r="J59" s="70">
        <f t="shared" si="16"/>
        <v>74.931924766049676</v>
      </c>
      <c r="K59" s="94">
        <f t="shared" si="17"/>
        <v>74.676684152366477</v>
      </c>
    </row>
    <row r="60" spans="2:11">
      <c r="B60" s="48">
        <v>86</v>
      </c>
      <c r="C60" s="50">
        <v>116.28381433878111</v>
      </c>
      <c r="D60" s="6">
        <v>17.913327227479776</v>
      </c>
      <c r="E60" s="6">
        <v>15.020374630235036</v>
      </c>
      <c r="F60" s="50">
        <v>16.466850928857404</v>
      </c>
      <c r="G60" s="50"/>
      <c r="H60" s="50"/>
      <c r="I60" s="52">
        <v>0.7395698231006399</v>
      </c>
      <c r="J60" s="70">
        <f t="shared" si="16"/>
        <v>75.02093103554553</v>
      </c>
      <c r="K60" s="94">
        <f t="shared" si="17"/>
        <v>74.765387239808504</v>
      </c>
    </row>
    <row r="61" spans="2:11">
      <c r="B61" s="48">
        <v>87</v>
      </c>
      <c r="C61" s="50">
        <v>117.49655155557477</v>
      </c>
      <c r="D61" s="6">
        <v>18.123088295418643</v>
      </c>
      <c r="E61" s="6">
        <v>15.120782016283018</v>
      </c>
      <c r="F61" s="50">
        <v>16.621935155850831</v>
      </c>
      <c r="G61" s="50"/>
      <c r="H61" s="50"/>
      <c r="I61" s="52">
        <v>0.74044726290413565</v>
      </c>
      <c r="J61" s="70">
        <f t="shared" si="16"/>
        <v>75.109937305041385</v>
      </c>
      <c r="K61" s="94">
        <f t="shared" si="17"/>
        <v>74.854090327250532</v>
      </c>
    </row>
    <row r="62" spans="2:11">
      <c r="B62" s="48">
        <v>88</v>
      </c>
      <c r="C62" s="50">
        <v>118.70641795502937</v>
      </c>
      <c r="D62" s="6">
        <v>18.332866241734184</v>
      </c>
      <c r="E62" s="6">
        <v>15.220701582635391</v>
      </c>
      <c r="F62" s="50">
        <v>16.776783912184786</v>
      </c>
      <c r="G62" s="50"/>
      <c r="H62" s="50"/>
      <c r="I62" s="52">
        <v>0.74132470270763151</v>
      </c>
      <c r="J62" s="70">
        <f t="shared" si="16"/>
        <v>75.198943574537253</v>
      </c>
      <c r="K62" s="94">
        <f t="shared" si="17"/>
        <v>74.942793414692574</v>
      </c>
    </row>
    <row r="63" spans="2:11">
      <c r="B63" s="48">
        <v>89</v>
      </c>
      <c r="C63" s="50">
        <v>119.91342371888354</v>
      </c>
      <c r="D63" s="6">
        <v>18.542660875953423</v>
      </c>
      <c r="E63" s="6">
        <v>15.320141202809715</v>
      </c>
      <c r="F63" s="50">
        <v>16.931401039381569</v>
      </c>
      <c r="G63" s="50"/>
      <c r="H63" s="50"/>
      <c r="I63" s="52">
        <v>0.74220214251112737</v>
      </c>
      <c r="J63" s="70">
        <f t="shared" si="16"/>
        <v>75.287949844033122</v>
      </c>
      <c r="K63" s="94">
        <f t="shared" si="17"/>
        <v>75.031496502134615</v>
      </c>
    </row>
    <row r="64" spans="2:11">
      <c r="B64" s="5">
        <v>90</v>
      </c>
      <c r="C64" s="50">
        <v>121.11757898078487</v>
      </c>
      <c r="D64" s="6">
        <v>18.752472011869195</v>
      </c>
      <c r="E64" s="6">
        <v>15.419108536404257</v>
      </c>
      <c r="F64" s="50">
        <v>17.085790274136727</v>
      </c>
      <c r="G64" s="50"/>
      <c r="H64" s="6"/>
      <c r="I64" s="52">
        <v>0.74307958231462312</v>
      </c>
      <c r="J64" s="70">
        <f t="shared" si="16"/>
        <v>75.376956113528976</v>
      </c>
      <c r="K64" s="94">
        <f t="shared" si="17"/>
        <v>75.120199589576643</v>
      </c>
    </row>
    <row r="65" spans="2:11">
      <c r="B65" s="5">
        <v>91</v>
      </c>
      <c r="C65" s="50">
        <v>122.31889382657351</v>
      </c>
      <c r="D65" s="6">
        <v>18.962299467398132</v>
      </c>
      <c r="E65" s="6">
        <v>15.517611037217174</v>
      </c>
      <c r="F65" s="50">
        <v>17.239955252307652</v>
      </c>
      <c r="G65" s="50"/>
      <c r="H65" s="6"/>
      <c r="I65" s="52">
        <v>0.74395702211811898</v>
      </c>
      <c r="J65" s="70">
        <f t="shared" si="16"/>
        <v>75.465962383024845</v>
      </c>
      <c r="K65" s="94">
        <f t="shared" si="17"/>
        <v>75.208902677018685</v>
      </c>
    </row>
    <row r="66" spans="2:11">
      <c r="B66" s="5">
        <v>92</v>
      </c>
      <c r="C66" s="50">
        <v>123.51737829456385</v>
      </c>
      <c r="D66" s="6">
        <v>19.172143064445141</v>
      </c>
      <c r="E66" s="6">
        <v>15.615655960971905</v>
      </c>
      <c r="F66" s="50">
        <v>17.393899512708522</v>
      </c>
      <c r="G66" s="50"/>
      <c r="H66" s="6"/>
      <c r="I66" s="52">
        <v>0.74483446192161473</v>
      </c>
      <c r="J66" s="70">
        <f t="shared" si="16"/>
        <v>75.554968652520699</v>
      </c>
      <c r="K66" s="94">
        <f t="shared" si="17"/>
        <v>75.297605764460712</v>
      </c>
    </row>
    <row r="67" spans="2:11">
      <c r="B67" s="5">
        <v>93</v>
      </c>
      <c r="C67" s="50">
        <v>124.71304237582397</v>
      </c>
      <c r="D67" s="6">
        <v>19.382002628773577</v>
      </c>
      <c r="E67" s="6">
        <v>15.713250372671933</v>
      </c>
      <c r="F67" s="50">
        <v>17.547626500722757</v>
      </c>
      <c r="G67" s="50"/>
      <c r="H67" s="6"/>
      <c r="I67" s="52">
        <v>0.74571190172511059</v>
      </c>
      <c r="J67" s="70">
        <f t="shared" si="16"/>
        <v>75.643974922016568</v>
      </c>
      <c r="K67" s="94">
        <f t="shared" si="17"/>
        <v>75.386308851902754</v>
      </c>
    </row>
    <row r="68" spans="2:11">
      <c r="B68" s="5">
        <v>94</v>
      </c>
      <c r="C68" s="50">
        <v>125.90589601445348</v>
      </c>
      <c r="D68" s="6">
        <v>19.591877989881006</v>
      </c>
      <c r="E68" s="6">
        <v>15.81040115360647</v>
      </c>
      <c r="F68" s="50">
        <v>17.701139571743738</v>
      </c>
      <c r="G68" s="50"/>
      <c r="H68" s="6"/>
      <c r="I68" s="52">
        <v>0.74658934152860634</v>
      </c>
      <c r="J68" s="70">
        <f t="shared" si="16"/>
        <v>75.732981191512422</v>
      </c>
      <c r="K68" s="94">
        <f t="shared" si="17"/>
        <v>75.475011939344782</v>
      </c>
    </row>
    <row r="69" spans="2:11">
      <c r="B69" s="5">
        <v>95</v>
      </c>
      <c r="C69" s="50">
        <v>127.09594910785896</v>
      </c>
      <c r="D69" s="6">
        <v>19.80176898088045</v>
      </c>
      <c r="E69" s="6">
        <v>15.907115008027194</v>
      </c>
      <c r="F69" s="50">
        <v>17.854441994453822</v>
      </c>
      <c r="G69" s="50"/>
      <c r="H69" s="6"/>
      <c r="I69" s="52">
        <v>0.7474667813321022</v>
      </c>
      <c r="J69" s="70">
        <f t="shared" si="16"/>
        <v>75.821987461008291</v>
      </c>
      <c r="K69" s="94">
        <f t="shared" si="17"/>
        <v>75.563715026786824</v>
      </c>
    </row>
    <row r="70" spans="2:11">
      <c r="B70" s="5">
        <v>96</v>
      </c>
      <c r="C70" s="50">
        <v>128.28321150702794</v>
      </c>
      <c r="D70" s="6">
        <v>20.011675438386312</v>
      </c>
      <c r="E70" s="6">
        <v>16.003398469514622</v>
      </c>
      <c r="F70" s="50">
        <v>18.007536953950467</v>
      </c>
      <c r="G70" s="50"/>
      <c r="H70" s="6"/>
      <c r="I70" s="52">
        <v>0.74834422113559795</v>
      </c>
      <c r="J70" s="70">
        <f t="shared" si="16"/>
        <v>75.910993730504146</v>
      </c>
      <c r="K70" s="94">
        <f t="shared" si="17"/>
        <v>75.652418114228851</v>
      </c>
    </row>
    <row r="71" spans="2:11">
      <c r="B71" s="5">
        <v>97</v>
      </c>
      <c r="C71" s="50">
        <v>129.46769301680052</v>
      </c>
      <c r="D71" s="6">
        <v>20.221597202405267</v>
      </c>
      <c r="E71" s="6">
        <v>16.099257907051943</v>
      </c>
      <c r="F71" s="50">
        <v>18.160427554728606</v>
      </c>
      <c r="G71" s="50"/>
      <c r="H71" s="6"/>
      <c r="I71" s="52">
        <v>0.74922166093909381</v>
      </c>
      <c r="J71" s="70">
        <f t="shared" si="16"/>
        <v>76</v>
      </c>
      <c r="K71" s="94">
        <f t="shared" si="17"/>
        <v>75.741121201670879</v>
      </c>
    </row>
    <row r="72" spans="2:11">
      <c r="B72" s="5">
        <v>98</v>
      </c>
      <c r="C72" s="50">
        <v>130.64940339613941</v>
      </c>
      <c r="D72" s="6">
        <v>20.43153411623155</v>
      </c>
      <c r="E72" s="6">
        <v>16.194699530822238</v>
      </c>
      <c r="F72" s="50">
        <v>18.313116823526894</v>
      </c>
      <c r="G72" s="50"/>
      <c r="H72" s="6"/>
      <c r="I72" s="52">
        <v>0.75009910074258968</v>
      </c>
      <c r="J72" s="70">
        <f t="shared" si="16"/>
        <v>76.089006269495869</v>
      </c>
      <c r="K72" s="94">
        <f t="shared" si="17"/>
        <v>75.829824289112921</v>
      </c>
    </row>
    <row r="73" spans="2:11">
      <c r="B73" s="5">
        <v>99</v>
      </c>
      <c r="C73" s="50">
        <v>131.82835235839786</v>
      </c>
      <c r="D73" s="6">
        <v>20.641486026346577</v>
      </c>
      <c r="E73" s="6">
        <v>16.289729397744711</v>
      </c>
      <c r="F73" s="50">
        <v>18.465607712045646</v>
      </c>
      <c r="G73" s="50"/>
      <c r="H73" s="6"/>
      <c r="I73" s="52">
        <v>0.75097654054608542</v>
      </c>
      <c r="J73" s="70">
        <f t="shared" si="16"/>
        <v>76.178012538991723</v>
      </c>
      <c r="K73" s="94">
        <f t="shared" si="17"/>
        <v>75.918527376554948</v>
      </c>
    </row>
    <row r="74" spans="2:11">
      <c r="B74" s="5">
        <v>100</v>
      </c>
      <c r="C74" s="50">
        <v>133.00454957158581</v>
      </c>
      <c r="D74" s="6">
        <v>20.851452782322603</v>
      </c>
      <c r="E74" s="6">
        <v>16.384353416763961</v>
      </c>
      <c r="F74" s="50">
        <v>18.617903099543284</v>
      </c>
      <c r="G74" s="50"/>
      <c r="H74" s="6"/>
      <c r="I74" s="52">
        <v>0.75185398034958129</v>
      </c>
      <c r="J74" s="70">
        <f t="shared" si="16"/>
        <v>76.267018808487592</v>
      </c>
      <c r="K74" s="94">
        <f t="shared" si="17"/>
        <v>76.00723046399699</v>
      </c>
    </row>
    <row r="75" spans="2:11">
      <c r="B75" s="5">
        <v>101</v>
      </c>
      <c r="C75" s="50">
        <v>134.17800465863434</v>
      </c>
      <c r="D75" s="6">
        <v>21.061434236730111</v>
      </c>
      <c r="E75" s="6">
        <v>16.478577353905742</v>
      </c>
      <c r="F75" s="50">
        <v>18.770005795317928</v>
      </c>
      <c r="G75" s="50"/>
      <c r="H75" s="6"/>
      <c r="I75" s="52">
        <v>0.75273142015307704</v>
      </c>
      <c r="J75" s="70">
        <f t="shared" si="16"/>
        <v>76.356025077983446</v>
      </c>
      <c r="K75" s="94">
        <f t="shared" si="17"/>
        <v>76.095933551439018</v>
      </c>
    </row>
    <row r="76" spans="2:11">
      <c r="B76" s="5">
        <v>102</v>
      </c>
      <c r="C76" s="50">
        <v>135.34872719765769</v>
      </c>
      <c r="D76" s="6">
        <v>21.27143024504899</v>
      </c>
      <c r="E76" s="6">
        <v>16.572406837111849</v>
      </c>
      <c r="F76" s="50">
        <v>18.921918541080419</v>
      </c>
      <c r="G76" s="50"/>
      <c r="H76" s="6"/>
      <c r="I76" s="52">
        <v>0.7536088599565729</v>
      </c>
      <c r="J76" s="70">
        <f t="shared" si="16"/>
        <v>76.445031347479315</v>
      </c>
      <c r="K76" s="94">
        <f t="shared" si="17"/>
        <v>76.184636638881059</v>
      </c>
    </row>
    <row r="77" spans="2:11">
      <c r="B77" s="5">
        <v>103</v>
      </c>
      <c r="C77" s="50">
        <v>136.51672672221434</v>
      </c>
      <c r="D77" s="6">
        <v>21.481440665583278</v>
      </c>
      <c r="E77" s="6">
        <v>16.665847360865602</v>
      </c>
      <c r="F77" s="50">
        <v>19.073644013224438</v>
      </c>
      <c r="G77" s="50"/>
      <c r="H77" s="6"/>
      <c r="I77" s="52">
        <v>0.75448629976006876</v>
      </c>
      <c r="J77" s="70">
        <f t="shared" si="16"/>
        <v>76.534037616975183</v>
      </c>
      <c r="K77" s="94">
        <f t="shared" si="17"/>
        <v>76.273339726323101</v>
      </c>
    </row>
    <row r="78" spans="2:11">
      <c r="B78" s="5">
        <v>104</v>
      </c>
      <c r="C78" s="50">
        <v>137.68201272156554</v>
      </c>
      <c r="D78" s="6">
        <v>21.69146535937886</v>
      </c>
      <c r="E78" s="6">
        <v>16.758904290619089</v>
      </c>
      <c r="F78" s="50">
        <v>19.225184824998976</v>
      </c>
      <c r="G78" s="50"/>
      <c r="H78" s="6"/>
      <c r="I78" s="52">
        <v>0.75536373956356451</v>
      </c>
      <c r="J78" s="70">
        <f t="shared" si="16"/>
        <v>76.623043886471038</v>
      </c>
      <c r="K78" s="94">
        <f t="shared" si="17"/>
        <v>76.362042813765129</v>
      </c>
    </row>
    <row r="79" spans="2:11">
      <c r="B79" s="5">
        <v>105</v>
      </c>
      <c r="C79" s="50">
        <v>138.84459464093223</v>
      </c>
      <c r="D79" s="6">
        <v>21.901504190144763</v>
      </c>
      <c r="E79" s="6">
        <v>16.851582867032572</v>
      </c>
      <c r="F79" s="50">
        <v>19.37654352858867</v>
      </c>
      <c r="G79" s="50"/>
      <c r="H79" s="6"/>
      <c r="I79" s="52">
        <v>0.75624117936706026</v>
      </c>
      <c r="J79" s="70">
        <f t="shared" si="16"/>
        <v>76.712050155966892</v>
      </c>
      <c r="K79" s="94">
        <f t="shared" si="17"/>
        <v>76.450745901207156</v>
      </c>
    </row>
    <row r="80" spans="2:11">
      <c r="B80" s="5">
        <v>106</v>
      </c>
      <c r="C80" s="50">
        <v>140.00448188175039</v>
      </c>
      <c r="D80" s="6">
        <v>22.111557024177106</v>
      </c>
      <c r="E80" s="6">
        <v>16.943888210035503</v>
      </c>
      <c r="F80" s="50">
        <v>19.527722617106306</v>
      </c>
      <c r="G80" s="50"/>
      <c r="H80" s="6"/>
      <c r="I80" s="52">
        <v>0.75711861917055612</v>
      </c>
      <c r="J80" s="70">
        <f t="shared" si="16"/>
        <v>76.801056425462761</v>
      </c>
      <c r="K80" s="94">
        <f t="shared" si="17"/>
        <v>76.539448988649198</v>
      </c>
    </row>
    <row r="81" spans="2:11">
      <c r="B81" s="5">
        <v>107</v>
      </c>
      <c r="C81" s="50">
        <v>141.16168380192445</v>
      </c>
      <c r="D81" s="6">
        <v>22.321623730286092</v>
      </c>
      <c r="E81" s="6">
        <v>17.035825322718448</v>
      </c>
      <c r="F81" s="50">
        <v>19.678724526502272</v>
      </c>
      <c r="G81" s="50"/>
      <c r="H81" s="6"/>
      <c r="I81" s="52">
        <v>0.75799605897405198</v>
      </c>
      <c r="J81" s="70">
        <f t="shared" si="16"/>
        <v>76.890062694958615</v>
      </c>
      <c r="K81" s="94">
        <f t="shared" si="17"/>
        <v>76.628152076091226</v>
      </c>
    </row>
    <row r="82" spans="2:11">
      <c r="B82" s="5">
        <v>108</v>
      </c>
      <c r="C82" s="50">
        <v>142.31620971607887</v>
      </c>
      <c r="D82" s="6">
        <v>22.531704179725708</v>
      </c>
      <c r="E82" s="6">
        <v>17.127399095064437</v>
      </c>
      <c r="F82" s="50">
        <v>19.82955163739507</v>
      </c>
      <c r="G82" s="50"/>
      <c r="H82" s="6"/>
      <c r="I82" s="52">
        <v>0.75887349877754773</v>
      </c>
      <c r="J82" s="70">
        <f t="shared" si="16"/>
        <v>76.979068964454484</v>
      </c>
      <c r="K82" s="94">
        <f t="shared" si="17"/>
        <v>76.716855163533268</v>
      </c>
    </row>
    <row r="83" spans="2:11">
      <c r="B83" s="5">
        <v>109</v>
      </c>
      <c r="C83" s="50">
        <v>143.46806889580807</v>
      </c>
      <c r="D83" s="6">
        <v>22.741798246125917</v>
      </c>
      <c r="E83" s="6">
        <v>17.218614307527691</v>
      </c>
      <c r="F83" s="50">
        <v>19.980206276826806</v>
      </c>
      <c r="G83" s="50"/>
      <c r="H83" s="6"/>
      <c r="I83" s="52">
        <v>0.75975093858104359</v>
      </c>
      <c r="J83" s="70">
        <f t="shared" si="16"/>
        <v>77.068075233950339</v>
      </c>
      <c r="K83" s="94">
        <f t="shared" si="17"/>
        <v>76.805558250975295</v>
      </c>
    </row>
    <row r="84" spans="2:11">
      <c r="B84" s="5">
        <v>110</v>
      </c>
      <c r="C84" s="50">
        <v>144.61727056992473</v>
      </c>
      <c r="D84" s="6">
        <v>22.951905805427518</v>
      </c>
      <c r="E84" s="6">
        <v>17.309475634467464</v>
      </c>
      <c r="F84" s="50">
        <v>20.130690719947491</v>
      </c>
      <c r="G84" s="50"/>
      <c r="H84" s="6"/>
      <c r="I84" s="52">
        <v>0.76062837838453934</v>
      </c>
      <c r="J84" s="70">
        <f t="shared" si="16"/>
        <v>77.157081503446207</v>
      </c>
      <c r="K84" s="94">
        <f t="shared" si="17"/>
        <v>76.894261338417337</v>
      </c>
    </row>
    <row r="85" spans="2:11">
      <c r="B85" s="5">
        <v>111</v>
      </c>
      <c r="C85" s="50">
        <v>145.76382392470609</v>
      </c>
      <c r="D85" s="6">
        <v>23.162026735819119</v>
      </c>
      <c r="E85" s="6">
        <v>17.399987647444007</v>
      </c>
      <c r="F85" s="50">
        <v>20.281007191631563</v>
      </c>
      <c r="G85" s="50"/>
      <c r="H85" s="6"/>
      <c r="I85" s="52">
        <v>0.7615058181880352</v>
      </c>
      <c r="J85" s="70">
        <f t="shared" si="16"/>
        <v>77.246087772942062</v>
      </c>
      <c r="K85" s="94">
        <f t="shared" si="17"/>
        <v>76.982964425859365</v>
      </c>
    </row>
    <row r="86" spans="2:11">
      <c r="B86" s="5">
        <v>112</v>
      </c>
      <c r="C86" s="50">
        <v>146.9077381041389</v>
      </c>
      <c r="D86" s="6">
        <v>23.372160917676677</v>
      </c>
      <c r="E86" s="6">
        <v>17.49015481838342</v>
      </c>
      <c r="F86" s="50">
        <v>20.431157868030049</v>
      </c>
      <c r="G86" s="50"/>
      <c r="H86" s="6"/>
      <c r="I86" s="52">
        <v>0.76238325799153106</v>
      </c>
      <c r="J86" s="70">
        <f t="shared" si="16"/>
        <v>77.33509404243793</v>
      </c>
      <c r="K86" s="94">
        <f t="shared" si="17"/>
        <v>77.071667513301406</v>
      </c>
    </row>
    <row r="87" spans="2:11">
      <c r="B87" s="5">
        <v>113</v>
      </c>
      <c r="C87" s="50">
        <v>148.04902221016243</v>
      </c>
      <c r="D87" s="6">
        <v>23.582308233504943</v>
      </c>
      <c r="E87" s="6">
        <v>17.579981522617746</v>
      </c>
      <c r="F87" s="50">
        <v>20.581144878061345</v>
      </c>
      <c r="G87" s="50"/>
      <c r="H87" s="6"/>
      <c r="I87" s="52">
        <v>0.76326069779502681</v>
      </c>
      <c r="J87" s="70">
        <f t="shared" si="16"/>
        <v>77.424100311933785</v>
      </c>
      <c r="K87" s="94">
        <f t="shared" si="17"/>
        <v>77.160370600743434</v>
      </c>
    </row>
    <row r="88" spans="2:11">
      <c r="B88" s="5">
        <v>114</v>
      </c>
      <c r="C88" s="50">
        <v>149.18768530290981</v>
      </c>
      <c r="D88" s="6">
        <v>23.792468567881055</v>
      </c>
      <c r="E88" s="6">
        <v>17.66947204180623</v>
      </c>
      <c r="F88" s="50">
        <v>20.730970304843645</v>
      </c>
      <c r="G88" s="50"/>
      <c r="H88" s="6"/>
      <c r="I88" s="52">
        <v>0.76413813759852267</v>
      </c>
      <c r="J88" s="70">
        <f t="shared" si="16"/>
        <v>77.513106581429653</v>
      </c>
      <c r="K88" s="94">
        <f t="shared" si="17"/>
        <v>77.249073688185476</v>
      </c>
    </row>
    <row r="89" spans="2:11">
      <c r="B89" s="5">
        <v>115</v>
      </c>
      <c r="C89" s="50">
        <v>150.32373640094792</v>
      </c>
      <c r="D89" s="6">
        <v>24.002641807400256</v>
      </c>
      <c r="E89" s="6">
        <v>17.758630566743491</v>
      </c>
      <c r="F89" s="50">
        <v>20.880636187071872</v>
      </c>
      <c r="G89" s="50"/>
      <c r="H89" s="6"/>
      <c r="I89" s="52">
        <v>0.76501557740201842</v>
      </c>
      <c r="J89" s="70">
        <f t="shared" si="16"/>
        <v>77.602112850925508</v>
      </c>
      <c r="K89" s="94">
        <f t="shared" si="17"/>
        <v>77.337776775627503</v>
      </c>
    </row>
    <row r="90" spans="2:11">
      <c r="B90" s="5">
        <v>116</v>
      </c>
      <c r="C90" s="50">
        <v>151.45718448151536</v>
      </c>
      <c r="D90" s="6">
        <v>24.212827840623181</v>
      </c>
      <c r="E90" s="6">
        <v>17.847461200059801</v>
      </c>
      <c r="F90" s="50">
        <v>21.030144520341491</v>
      </c>
      <c r="G90" s="50"/>
      <c r="H90" s="6"/>
      <c r="I90" s="52">
        <v>0.76589301720551428</v>
      </c>
      <c r="J90" s="70">
        <f t="shared" si="16"/>
        <v>77.691119120421376</v>
      </c>
      <c r="K90" s="94">
        <f t="shared" si="17"/>
        <v>77.426479863069545</v>
      </c>
    </row>
    <row r="91" spans="2:11">
      <c r="B91" s="5">
        <v>117</v>
      </c>
      <c r="C91" s="50">
        <v>152.58803848075902</v>
      </c>
      <c r="D91" s="6">
        <v>24.423026558025349</v>
      </c>
      <c r="E91" s="6">
        <v>17.935967958818601</v>
      </c>
      <c r="F91" s="50">
        <v>21.179497258421975</v>
      </c>
      <c r="G91" s="50"/>
      <c r="H91" s="6"/>
      <c r="I91" s="52">
        <v>0.76677045700901003</v>
      </c>
      <c r="J91" s="70">
        <f t="shared" si="16"/>
        <v>77.780125389917231</v>
      </c>
      <c r="K91" s="94">
        <f t="shared" si="17"/>
        <v>77.515182950511573</v>
      </c>
    </row>
    <row r="92" spans="2:11">
      <c r="B92" s="5">
        <v>118</v>
      </c>
      <c r="C92" s="50">
        <v>153.71630729396878</v>
      </c>
      <c r="D92" s="6">
        <v>24.633237851947925</v>
      </c>
      <c r="E92" s="6">
        <v>18.024154777015983</v>
      </c>
      <c r="F92" s="50">
        <v>21.328696314481952</v>
      </c>
      <c r="G92" s="50"/>
      <c r="H92" s="6"/>
      <c r="I92" s="52">
        <v>0.76764789681250589</v>
      </c>
      <c r="J92" s="70">
        <f t="shared" si="16"/>
        <v>77.8691316594131</v>
      </c>
      <c r="K92" s="94">
        <f t="shared" si="17"/>
        <v>77.603886037953615</v>
      </c>
    </row>
    <row r="93" spans="2:11">
      <c r="B93" s="5">
        <v>119</v>
      </c>
      <c r="C93" s="50">
        <v>154.84199977581099</v>
      </c>
      <c r="D93" s="6">
        <v>24.843461616550663</v>
      </c>
      <c r="E93" s="6">
        <v>18.112025507986587</v>
      </c>
      <c r="F93" s="50">
        <v>21.477743562268625</v>
      </c>
      <c r="G93" s="50"/>
      <c r="H93" s="6"/>
      <c r="I93" s="52">
        <v>0.76852533661600164</v>
      </c>
      <c r="J93" s="70">
        <f t="shared" si="16"/>
        <v>77.95813792890894</v>
      </c>
      <c r="K93" s="94">
        <f t="shared" si="17"/>
        <v>77.692589125395628</v>
      </c>
    </row>
    <row r="94" spans="2:11">
      <c r="B94" s="5">
        <v>120</v>
      </c>
      <c r="C94" s="50">
        <v>155.96512474055984</v>
      </c>
      <c r="D94" s="6">
        <v>25.053697747765945</v>
      </c>
      <c r="E94" s="6">
        <v>18.199583926720305</v>
      </c>
      <c r="F94" s="50">
        <v>21.626640837243123</v>
      </c>
      <c r="G94" s="50"/>
      <c r="H94" s="6"/>
      <c r="I94" s="52">
        <v>0.7694027764194975</v>
      </c>
      <c r="J94" s="70">
        <f t="shared" si="16"/>
        <v>78.047144198404823</v>
      </c>
      <c r="K94" s="94">
        <f t="shared" si="17"/>
        <v>77.781292212837684</v>
      </c>
    </row>
  </sheetData>
  <mergeCells count="8">
    <mergeCell ref="D53:F53"/>
    <mergeCell ref="I53:I54"/>
    <mergeCell ref="B38:E38"/>
    <mergeCell ref="A1:O1"/>
    <mergeCell ref="A2:A4"/>
    <mergeCell ref="J2:K3"/>
    <mergeCell ref="B37:E37"/>
    <mergeCell ref="B2: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3F5D1-1C3D-CB49-A915-8D3D9E5FFC4E}">
  <sheetPr codeName="Sheet8">
    <tabColor rgb="FFFF0000"/>
  </sheetPr>
  <dimension ref="B1:BQ215"/>
  <sheetViews>
    <sheetView showGridLines="0" showRowColHeaders="0" workbookViewId="0">
      <selection activeCell="M19" sqref="M19"/>
    </sheetView>
  </sheetViews>
  <sheetFormatPr defaultColWidth="10.625" defaultRowHeight="15.75"/>
  <cols>
    <col min="1" max="1" width="2.625" style="164" customWidth="1"/>
    <col min="2" max="4" width="15.625" style="164" customWidth="1"/>
    <col min="5" max="5" width="25.625" style="164" customWidth="1"/>
    <col min="6" max="7" width="15.625" style="164" customWidth="1"/>
    <col min="8" max="8" width="10.625" style="164" customWidth="1"/>
    <col min="9" max="10" width="15.625" style="164" customWidth="1"/>
    <col min="11" max="11" width="18.625" style="164" customWidth="1"/>
    <col min="12" max="12" width="19.125" style="164" customWidth="1"/>
    <col min="13" max="13" width="12.125" style="164" bestFit="1" customWidth="1"/>
    <col min="14" max="14" width="15.125" style="164" hidden="1" customWidth="1"/>
    <col min="15" max="15" width="13.125" style="164" hidden="1" customWidth="1"/>
    <col min="16" max="16" width="10.625" style="164" hidden="1" customWidth="1"/>
    <col min="17" max="17" width="12.5" style="164" hidden="1" customWidth="1"/>
    <col min="18" max="18" width="10.5" style="164" hidden="1" customWidth="1"/>
    <col min="19" max="19" width="12.625" style="164" hidden="1" customWidth="1"/>
    <col min="20" max="20" width="11.125" style="164" hidden="1" customWidth="1"/>
    <col min="21" max="21" width="13.125" style="164" hidden="1" customWidth="1"/>
    <col min="22" max="22" width="18" style="164" hidden="1" customWidth="1"/>
    <col min="23" max="26" width="10.625" style="164" hidden="1" customWidth="1"/>
    <col min="27" max="27" width="13.125" style="164" hidden="1" customWidth="1"/>
    <col min="28" max="35" width="10.625" style="164" hidden="1" customWidth="1"/>
    <col min="36" max="36" width="10.625" style="164"/>
    <col min="37" max="61" width="10.625" style="163"/>
    <col min="62" max="16384" width="10.625" style="164"/>
  </cols>
  <sheetData>
    <row r="1" spans="2:36" ht="20.100000000000001" customHeight="1">
      <c r="B1" s="292" t="s">
        <v>231</v>
      </c>
      <c r="C1" s="292"/>
      <c r="D1" s="292"/>
      <c r="E1" s="292"/>
      <c r="F1" s="292"/>
      <c r="G1" s="292"/>
      <c r="H1" s="292"/>
      <c r="I1" s="292"/>
      <c r="J1" s="292"/>
      <c r="K1" s="83"/>
      <c r="L1" s="83"/>
      <c r="M1" s="83"/>
      <c r="N1" s="83"/>
      <c r="O1" s="163"/>
      <c r="P1" s="163"/>
      <c r="Q1" s="163"/>
      <c r="R1" s="163"/>
      <c r="S1" s="61"/>
      <c r="T1" s="61"/>
      <c r="U1" s="61"/>
      <c r="V1" s="61"/>
      <c r="W1" s="61"/>
      <c r="X1" s="61"/>
      <c r="Y1" s="163"/>
      <c r="Z1" s="163"/>
      <c r="AA1" s="163"/>
      <c r="AB1" s="163"/>
      <c r="AC1" s="163"/>
      <c r="AD1" s="163"/>
      <c r="AE1" s="163"/>
      <c r="AF1" s="163"/>
      <c r="AG1" s="163"/>
      <c r="AH1" s="163"/>
      <c r="AI1" s="163"/>
      <c r="AJ1" s="163"/>
    </row>
    <row r="2" spans="2:36" ht="84.95" customHeight="1">
      <c r="B2" s="292"/>
      <c r="C2" s="292"/>
      <c r="D2" s="292"/>
      <c r="E2" s="292"/>
      <c r="F2" s="292"/>
      <c r="G2" s="292"/>
      <c r="H2" s="292"/>
      <c r="I2" s="292"/>
      <c r="J2" s="292"/>
      <c r="K2" s="83"/>
      <c r="L2" s="83"/>
      <c r="M2" s="83"/>
      <c r="N2" s="83"/>
      <c r="O2" s="163"/>
      <c r="P2" s="163"/>
      <c r="Q2" s="163"/>
      <c r="R2" s="163"/>
      <c r="S2" s="163"/>
      <c r="T2" s="163"/>
      <c r="U2" s="163"/>
      <c r="V2" s="163"/>
      <c r="W2" s="163"/>
      <c r="X2" s="163"/>
      <c r="Y2" s="163"/>
      <c r="Z2" s="163"/>
      <c r="AA2" s="163"/>
      <c r="AB2" s="163"/>
      <c r="AC2" s="163"/>
      <c r="AD2" s="163"/>
      <c r="AE2" s="163"/>
      <c r="AF2" s="163"/>
      <c r="AG2" s="163"/>
      <c r="AH2" s="163"/>
      <c r="AI2" s="163"/>
      <c r="AJ2" s="163"/>
    </row>
    <row r="3" spans="2:36" ht="20.100000000000001" customHeight="1">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row>
    <row r="4" spans="2:36" ht="20.100000000000001" customHeight="1" thickBot="1">
      <c r="B4" s="165" t="s">
        <v>165</v>
      </c>
      <c r="C4" s="166"/>
      <c r="D4" s="166"/>
      <c r="E4" s="167"/>
      <c r="F4" s="168"/>
      <c r="G4" s="169"/>
      <c r="H4" s="169"/>
      <c r="I4" s="169"/>
      <c r="J4" s="169"/>
      <c r="K4" s="170"/>
      <c r="L4" s="170"/>
      <c r="M4" s="170"/>
      <c r="N4" s="170"/>
      <c r="O4" s="163"/>
      <c r="P4" s="163"/>
      <c r="Q4" s="163"/>
      <c r="R4" s="163"/>
      <c r="S4" s="163"/>
      <c r="T4" s="163"/>
      <c r="U4" s="171"/>
      <c r="V4" s="163"/>
      <c r="W4" s="163"/>
      <c r="X4" s="163"/>
      <c r="Y4" s="163"/>
      <c r="AA4" s="163"/>
      <c r="AB4" s="163"/>
      <c r="AC4" s="163"/>
      <c r="AD4" s="163"/>
      <c r="AE4" s="163"/>
      <c r="AF4" s="163"/>
      <c r="AG4" s="163"/>
      <c r="AH4" s="163"/>
      <c r="AI4" s="163"/>
      <c r="AJ4" s="163"/>
    </row>
    <row r="5" spans="2:36" ht="20.100000000000001" customHeight="1">
      <c r="B5" s="172"/>
      <c r="C5" s="172"/>
      <c r="D5" s="172"/>
      <c r="E5" s="172"/>
      <c r="F5" s="172"/>
      <c r="G5" s="163"/>
      <c r="H5" s="163"/>
      <c r="I5" s="163"/>
      <c r="J5" s="163"/>
      <c r="K5" s="170"/>
      <c r="L5" s="170"/>
      <c r="M5" s="163"/>
      <c r="N5" s="163"/>
      <c r="O5" s="163"/>
      <c r="P5" s="163"/>
      <c r="Q5" s="163"/>
      <c r="R5" s="163"/>
      <c r="S5" s="163"/>
      <c r="T5" s="163"/>
      <c r="U5" s="171"/>
      <c r="V5" s="163"/>
      <c r="W5" s="163"/>
      <c r="X5" s="163"/>
      <c r="Y5" s="163"/>
      <c r="Z5" s="163" t="s">
        <v>90</v>
      </c>
      <c r="AA5" s="163"/>
      <c r="AB5" s="164" t="s">
        <v>187</v>
      </c>
      <c r="AC5" s="163"/>
      <c r="AD5" s="163"/>
      <c r="AE5" s="163"/>
      <c r="AF5" s="163"/>
      <c r="AG5" s="163"/>
      <c r="AH5" s="163"/>
      <c r="AI5" s="163"/>
      <c r="AJ5" s="163"/>
    </row>
    <row r="6" spans="2:36" ht="20.100000000000001" customHeight="1">
      <c r="B6" s="266" t="s">
        <v>52</v>
      </c>
      <c r="C6" s="266"/>
      <c r="D6" s="267"/>
      <c r="E6" s="178" t="s">
        <v>53</v>
      </c>
      <c r="F6" s="172"/>
      <c r="H6" s="163"/>
      <c r="I6" s="170"/>
      <c r="J6" s="60"/>
      <c r="K6" s="163"/>
      <c r="L6" s="163"/>
      <c r="M6" s="163"/>
      <c r="N6" s="163"/>
      <c r="O6" s="163"/>
      <c r="P6" s="163"/>
      <c r="Q6" s="163"/>
      <c r="R6" s="163"/>
      <c r="S6" s="163"/>
      <c r="T6" s="163"/>
      <c r="U6" s="171"/>
      <c r="V6" s="163"/>
      <c r="W6" s="163"/>
      <c r="X6" s="163"/>
      <c r="Y6" s="163"/>
      <c r="Z6" s="163"/>
      <c r="AA6" s="163"/>
      <c r="AB6" s="285" t="s">
        <v>2</v>
      </c>
      <c r="AC6" s="286"/>
      <c r="AD6" s="170"/>
      <c r="AE6" s="163"/>
      <c r="AF6" s="163"/>
      <c r="AG6" s="163"/>
      <c r="AH6" s="163"/>
      <c r="AI6" s="163"/>
      <c r="AJ6" s="163"/>
    </row>
    <row r="7" spans="2:36" ht="20.100000000000001" customHeight="1">
      <c r="B7" s="266" t="s">
        <v>60</v>
      </c>
      <c r="C7" s="266"/>
      <c r="D7" s="267"/>
      <c r="E7" s="159">
        <v>1</v>
      </c>
      <c r="F7" s="172"/>
      <c r="G7" s="163"/>
      <c r="H7" s="174"/>
      <c r="I7" s="170"/>
      <c r="J7" s="60"/>
      <c r="K7" s="163"/>
      <c r="L7" s="163"/>
      <c r="M7" s="163"/>
      <c r="N7" s="163"/>
      <c r="O7" s="163"/>
      <c r="P7" s="163"/>
      <c r="Q7" s="163"/>
      <c r="R7" s="163"/>
      <c r="S7" s="163"/>
      <c r="T7" s="163"/>
      <c r="U7" s="171"/>
      <c r="V7" s="163"/>
      <c r="W7" s="163"/>
      <c r="X7" s="163"/>
      <c r="Y7" s="163"/>
      <c r="Z7" s="163"/>
      <c r="AA7" s="163"/>
      <c r="AB7" s="175"/>
      <c r="AC7" s="175" t="s">
        <v>188</v>
      </c>
      <c r="AD7" s="170"/>
      <c r="AE7" s="163"/>
      <c r="AF7" s="163"/>
      <c r="AG7" s="163"/>
      <c r="AH7" s="163"/>
      <c r="AI7" s="163"/>
      <c r="AJ7" s="163"/>
    </row>
    <row r="8" spans="2:36" ht="20.100000000000001" hidden="1" customHeight="1">
      <c r="B8" s="266" t="s">
        <v>61</v>
      </c>
      <c r="C8" s="266"/>
      <c r="D8" s="267"/>
      <c r="E8" s="176">
        <v>0.78</v>
      </c>
      <c r="F8" s="172"/>
      <c r="G8" s="163"/>
      <c r="H8" s="163"/>
      <c r="I8" s="170"/>
      <c r="J8" s="60"/>
      <c r="K8" s="163"/>
      <c r="L8" s="163"/>
      <c r="M8" s="163"/>
      <c r="N8" s="163"/>
      <c r="O8" s="163"/>
      <c r="P8" s="163"/>
      <c r="Q8" s="163"/>
      <c r="R8" s="163"/>
      <c r="S8" s="163"/>
      <c r="T8" s="163"/>
      <c r="U8" s="174">
        <v>2</v>
      </c>
      <c r="V8" s="163"/>
      <c r="W8" s="163"/>
      <c r="X8" s="163"/>
      <c r="Y8" s="163"/>
      <c r="Z8" s="163"/>
      <c r="AA8" s="163"/>
      <c r="AB8" s="175" t="s">
        <v>5</v>
      </c>
      <c r="AC8" s="175">
        <f>0.0000306269361758696*(Z17*Z17)- 0.00966436147205444*Z17+ 1.47675067863161</f>
        <v>1.2007697517186346</v>
      </c>
      <c r="AD8" s="170"/>
      <c r="AE8" s="163"/>
      <c r="AF8" s="163"/>
      <c r="AG8" s="163"/>
      <c r="AH8" s="163"/>
      <c r="AI8" s="163"/>
      <c r="AJ8" s="163"/>
    </row>
    <row r="9" spans="2:36" ht="20.100000000000001" hidden="1" customHeight="1">
      <c r="B9" s="266" t="s">
        <v>51</v>
      </c>
      <c r="C9" s="266"/>
      <c r="D9" s="267"/>
      <c r="E9" s="177">
        <v>74</v>
      </c>
      <c r="F9" s="172" t="str">
        <f>IF(E9&gt;75.9,"No phosphorus impact on carcass yield is considered","")</f>
        <v/>
      </c>
      <c r="G9" s="163"/>
      <c r="H9" s="163"/>
      <c r="I9" s="170"/>
      <c r="J9" s="60"/>
      <c r="K9" s="163"/>
      <c r="L9" s="163"/>
      <c r="M9" s="163"/>
      <c r="N9" s="163"/>
      <c r="O9" s="163"/>
      <c r="P9" s="163"/>
      <c r="Q9" s="163"/>
      <c r="R9" s="163"/>
      <c r="S9" s="163"/>
      <c r="T9" s="163" t="s">
        <v>53</v>
      </c>
      <c r="U9" s="163">
        <v>3</v>
      </c>
      <c r="V9" s="163"/>
      <c r="W9" s="163"/>
      <c r="X9" s="163"/>
      <c r="Y9" s="163"/>
      <c r="Z9" s="163"/>
      <c r="AA9" s="163"/>
      <c r="AD9" s="170"/>
      <c r="AE9" s="163"/>
      <c r="AF9" s="163"/>
      <c r="AG9" s="163"/>
      <c r="AH9" s="163"/>
      <c r="AI9" s="163"/>
      <c r="AJ9" s="163"/>
    </row>
    <row r="10" spans="2:36" ht="20.100000000000001" customHeight="1">
      <c r="B10" s="266" t="s">
        <v>4</v>
      </c>
      <c r="C10" s="266"/>
      <c r="D10" s="267"/>
      <c r="E10" s="159">
        <v>0.12</v>
      </c>
      <c r="F10" s="172"/>
      <c r="G10" s="163"/>
      <c r="H10" s="163"/>
      <c r="I10" s="170"/>
      <c r="J10" s="60"/>
      <c r="K10" s="163"/>
      <c r="L10" s="163"/>
      <c r="M10" s="163"/>
      <c r="N10" s="163"/>
      <c r="O10" s="163"/>
      <c r="P10" s="163"/>
      <c r="Q10" s="163"/>
      <c r="R10" s="163"/>
      <c r="S10" s="163"/>
      <c r="T10" s="163" t="s">
        <v>54</v>
      </c>
      <c r="U10" s="163">
        <v>4</v>
      </c>
      <c r="V10" s="163"/>
      <c r="W10" s="163"/>
      <c r="X10" s="163"/>
      <c r="Y10" s="163"/>
      <c r="Z10" s="163"/>
      <c r="AA10" s="163"/>
      <c r="AB10" s="285" t="s">
        <v>7</v>
      </c>
      <c r="AC10" s="286"/>
      <c r="AD10" s="170"/>
      <c r="AE10" s="163"/>
      <c r="AF10" s="163"/>
      <c r="AG10" s="163"/>
      <c r="AH10" s="163"/>
      <c r="AI10" s="163"/>
      <c r="AJ10" s="163"/>
    </row>
    <row r="11" spans="2:36" ht="20.100000000000001" hidden="1" customHeight="1">
      <c r="B11" s="266" t="s">
        <v>6</v>
      </c>
      <c r="C11" s="266"/>
      <c r="D11" s="267"/>
      <c r="E11" s="178">
        <f>COUNTIF(D78:D83,"&gt;0")</f>
        <v>5</v>
      </c>
      <c r="F11" s="172"/>
      <c r="G11" s="163"/>
      <c r="H11" s="163"/>
      <c r="I11" s="170"/>
      <c r="J11" s="170"/>
      <c r="K11" s="163"/>
      <c r="L11" s="163"/>
      <c r="M11" s="163"/>
      <c r="N11" s="163"/>
      <c r="O11" s="163"/>
      <c r="P11" s="163"/>
      <c r="Q11" s="163"/>
      <c r="R11" s="163"/>
      <c r="S11" s="163"/>
      <c r="T11" s="163"/>
      <c r="U11" s="163">
        <v>5</v>
      </c>
      <c r="V11" s="163"/>
      <c r="W11" s="163"/>
      <c r="X11" s="163"/>
      <c r="Y11" s="163"/>
      <c r="Z11" s="163"/>
      <c r="AA11" s="163"/>
      <c r="AB11" s="175"/>
      <c r="AC11" s="175" t="s">
        <v>188</v>
      </c>
      <c r="AD11" s="170"/>
      <c r="AE11" s="163"/>
      <c r="AF11" s="163"/>
      <c r="AG11" s="163"/>
      <c r="AH11" s="163"/>
      <c r="AI11" s="163"/>
      <c r="AJ11" s="163"/>
    </row>
    <row r="12" spans="2:36" ht="20.100000000000001" customHeight="1">
      <c r="B12" s="170"/>
      <c r="C12" s="170"/>
      <c r="D12" s="170"/>
      <c r="F12" s="172"/>
      <c r="G12" s="163"/>
      <c r="H12" s="163"/>
      <c r="I12" s="163"/>
      <c r="J12" s="163"/>
      <c r="K12" s="163"/>
      <c r="L12" s="163"/>
      <c r="M12" s="163"/>
      <c r="N12" s="163"/>
      <c r="O12" s="163"/>
      <c r="P12" s="163"/>
      <c r="Q12" s="163"/>
      <c r="R12" s="163"/>
      <c r="S12" s="163"/>
      <c r="T12" s="163"/>
      <c r="U12" s="163">
        <v>6</v>
      </c>
      <c r="V12" s="163"/>
      <c r="W12" s="163"/>
      <c r="X12" s="163"/>
      <c r="Y12" s="163"/>
      <c r="Z12" s="163"/>
      <c r="AA12" s="163"/>
      <c r="AB12" s="175" t="s">
        <v>5</v>
      </c>
      <c r="AC12" s="175">
        <f>0.0000306269361758696*(Z18*Z18)- 0.00966436147205444*Z18+ 1.47675067863161</f>
        <v>1.0707923963344519</v>
      </c>
      <c r="AD12" s="170"/>
      <c r="AE12" s="163"/>
      <c r="AF12" s="163"/>
      <c r="AG12" s="163"/>
      <c r="AH12" s="163"/>
      <c r="AI12" s="163"/>
      <c r="AJ12" s="163"/>
    </row>
    <row r="13" spans="2:36" ht="20.100000000000001" customHeight="1" thickBot="1">
      <c r="B13" s="180" t="s">
        <v>0</v>
      </c>
      <c r="C13" s="181" t="s">
        <v>1</v>
      </c>
      <c r="D13" s="169"/>
      <c r="E13" s="238"/>
      <c r="F13" s="287" t="s">
        <v>8</v>
      </c>
      <c r="G13" s="287"/>
      <c r="H13" s="163"/>
      <c r="I13" s="297" t="s">
        <v>242</v>
      </c>
      <c r="J13" s="297"/>
      <c r="K13" s="163"/>
      <c r="L13" s="163"/>
      <c r="M13" s="163"/>
      <c r="N13" s="163"/>
      <c r="O13" s="163"/>
      <c r="P13" s="163"/>
      <c r="Q13" s="163"/>
      <c r="R13" s="163"/>
      <c r="S13" s="163"/>
      <c r="T13" s="163"/>
      <c r="U13" s="163"/>
      <c r="V13" s="163"/>
      <c r="W13" s="163"/>
      <c r="X13" s="163"/>
      <c r="Y13" s="163"/>
      <c r="Z13" s="163"/>
      <c r="AA13" s="163"/>
      <c r="AB13" s="163"/>
      <c r="AC13" s="163"/>
      <c r="AD13" s="170"/>
      <c r="AE13" s="163"/>
      <c r="AF13" s="163"/>
      <c r="AG13" s="163"/>
      <c r="AH13" s="163"/>
      <c r="AI13" s="163"/>
      <c r="AJ13" s="163"/>
    </row>
    <row r="14" spans="2:36" ht="20.100000000000001" customHeight="1">
      <c r="B14" s="151" t="s">
        <v>241</v>
      </c>
      <c r="C14" s="295" t="s">
        <v>75</v>
      </c>
      <c r="D14" s="296"/>
      <c r="E14" s="152" t="s">
        <v>189</v>
      </c>
      <c r="F14" s="151" t="s">
        <v>105</v>
      </c>
      <c r="G14" s="152" t="s">
        <v>10</v>
      </c>
      <c r="H14" s="239" t="s">
        <v>164</v>
      </c>
      <c r="I14" s="153" t="s">
        <v>9</v>
      </c>
      <c r="J14" s="155" t="s">
        <v>10</v>
      </c>
      <c r="K14" s="163"/>
      <c r="L14" s="163"/>
      <c r="M14" s="163"/>
      <c r="N14" s="163"/>
      <c r="O14" s="163"/>
      <c r="P14" s="163"/>
      <c r="Q14" s="163"/>
      <c r="R14" s="163"/>
      <c r="S14" s="163"/>
      <c r="T14" s="163"/>
      <c r="U14" s="163"/>
      <c r="V14" s="163"/>
      <c r="W14" s="163"/>
      <c r="X14" s="163"/>
      <c r="Y14" s="163"/>
      <c r="Z14" s="163"/>
      <c r="AA14" s="163"/>
      <c r="AB14" s="285" t="s">
        <v>13</v>
      </c>
      <c r="AC14" s="286"/>
      <c r="AD14" s="170"/>
      <c r="AE14" s="163"/>
      <c r="AF14" s="163"/>
      <c r="AG14" s="163"/>
      <c r="AH14" s="163"/>
      <c r="AI14" s="163"/>
      <c r="AJ14" s="163"/>
    </row>
    <row r="15" spans="2:36" ht="20.100000000000001" customHeight="1">
      <c r="B15" s="156">
        <f>IF(C15&gt;0,1," ")</f>
        <v>1</v>
      </c>
      <c r="C15" s="157">
        <v>50</v>
      </c>
      <c r="D15" s="157">
        <v>90</v>
      </c>
      <c r="E15" s="105">
        <v>1500</v>
      </c>
      <c r="F15" s="158">
        <v>0.31</v>
      </c>
      <c r="G15" s="159">
        <v>274.70999999999998</v>
      </c>
      <c r="H15" s="154">
        <f t="shared" ref="H15:H20" si="0">E15*2.20462</f>
        <v>3306.93</v>
      </c>
      <c r="I15" s="160">
        <f>IFERROR(VLOOKUP($C$13,$AB$7:$AC$8,2,FALSE)*H15/10000,"")</f>
        <v>0.39708615150509047</v>
      </c>
      <c r="J15" s="161">
        <v>279.72000000000003</v>
      </c>
      <c r="K15" s="163"/>
      <c r="L15" s="163"/>
      <c r="M15" s="163"/>
      <c r="N15" s="163"/>
      <c r="O15" s="163"/>
      <c r="P15" s="163"/>
      <c r="Q15" s="163"/>
      <c r="R15" s="163"/>
      <c r="S15" s="163"/>
      <c r="T15" s="163"/>
      <c r="U15" s="163"/>
      <c r="V15" s="163"/>
      <c r="W15" s="163"/>
      <c r="X15" s="163"/>
      <c r="Y15" s="163"/>
      <c r="Z15" s="163"/>
      <c r="AA15" s="163"/>
      <c r="AB15" s="175"/>
      <c r="AC15" s="175" t="s">
        <v>188</v>
      </c>
      <c r="AD15" s="170"/>
      <c r="AE15" s="163"/>
      <c r="AF15" s="163"/>
      <c r="AG15" s="163"/>
      <c r="AH15" s="163"/>
      <c r="AI15" s="163"/>
      <c r="AJ15" s="163"/>
    </row>
    <row r="16" spans="2:36" ht="20.100000000000001" customHeight="1">
      <c r="B16" s="156">
        <f>IF(D79&gt;0,(B15+1)," ")</f>
        <v>2</v>
      </c>
      <c r="C16" s="156">
        <f>IF(D79&gt;0,D15,"")</f>
        <v>90</v>
      </c>
      <c r="D16" s="157">
        <v>130</v>
      </c>
      <c r="E16" s="105">
        <v>1500</v>
      </c>
      <c r="F16" s="158">
        <v>0.28999999999999998</v>
      </c>
      <c r="G16" s="159">
        <v>260.44</v>
      </c>
      <c r="H16" s="154">
        <f t="shared" si="0"/>
        <v>3306.93</v>
      </c>
      <c r="I16" s="160">
        <f>IFERROR(VLOOKUP($C$13,$AB$11:$AC$12,2,FALSE)*H16/10000,"")</f>
        <v>0.35410354992102888</v>
      </c>
      <c r="J16" s="159">
        <v>263.02</v>
      </c>
      <c r="K16" s="163"/>
      <c r="L16" s="163"/>
      <c r="M16" s="163"/>
      <c r="N16" s="163"/>
      <c r="O16" s="163"/>
      <c r="P16" s="163"/>
      <c r="Q16" s="163" t="s">
        <v>178</v>
      </c>
      <c r="R16" s="163"/>
      <c r="S16" s="163" t="s">
        <v>160</v>
      </c>
      <c r="U16" s="184"/>
      <c r="V16" s="185" t="s">
        <v>80</v>
      </c>
      <c r="W16" s="185" t="s">
        <v>35</v>
      </c>
      <c r="X16" s="186" t="s">
        <v>103</v>
      </c>
      <c r="Y16" s="175" t="s">
        <v>104</v>
      </c>
      <c r="Z16" s="175" t="s">
        <v>11</v>
      </c>
      <c r="AA16" s="175" t="s">
        <v>115</v>
      </c>
      <c r="AB16" s="175" t="s">
        <v>5</v>
      </c>
      <c r="AC16" s="175">
        <f>0.0000306269361758696*(Z19*Z19)- 0.00966436147205444*Z19+ 1.47675067863161</f>
        <v>0.94867061475312364</v>
      </c>
      <c r="AD16" s="170"/>
      <c r="AE16" s="163"/>
      <c r="AF16" s="163"/>
      <c r="AG16" s="163"/>
      <c r="AH16" s="163"/>
      <c r="AI16" s="163"/>
      <c r="AJ16" s="163"/>
    </row>
    <row r="17" spans="2:69" ht="20.100000000000001" customHeight="1">
      <c r="B17" s="156">
        <f t="shared" ref="B17:B20" si="1">IF(D80&gt;0,(B16+1)," ")</f>
        <v>3</v>
      </c>
      <c r="C17" s="156">
        <f t="shared" ref="C17:C20" si="2">IF(D80&gt;0,D16,"")</f>
        <v>130</v>
      </c>
      <c r="D17" s="157">
        <v>180</v>
      </c>
      <c r="E17" s="105">
        <v>1504</v>
      </c>
      <c r="F17" s="158">
        <v>0.26</v>
      </c>
      <c r="G17" s="159">
        <v>247.49</v>
      </c>
      <c r="H17" s="154">
        <f t="shared" si="0"/>
        <v>3315.7484799999997</v>
      </c>
      <c r="I17" s="160">
        <f>IFERROR(VLOOKUP($C$13,$AB$15:$AC$16,2,FALSE)*H17/10000,"")</f>
        <v>0.31455531488883354</v>
      </c>
      <c r="J17" s="159">
        <v>249.4</v>
      </c>
      <c r="K17" s="163"/>
      <c r="L17" s="163"/>
      <c r="M17" s="163"/>
      <c r="N17" s="163"/>
      <c r="O17" s="163"/>
      <c r="P17" s="163"/>
      <c r="Q17" s="187">
        <f t="shared" ref="Q17:Q20" si="3">IFERROR(I15/AA17,"")</f>
        <v>1.2694791779362142</v>
      </c>
      <c r="R17" s="163"/>
      <c r="S17" s="187">
        <f t="shared" ref="S17:S20" si="4">IFERROR(F15/AA17,"")</f>
        <v>0.99106590262234673</v>
      </c>
      <c r="T17" s="188"/>
      <c r="U17" s="175" t="s">
        <v>12</v>
      </c>
      <c r="V17" s="189">
        <f t="shared" ref="V17:V20" si="5">IFERROR(AVERAGE(C15:D15),"")</f>
        <v>70</v>
      </c>
      <c r="W17" s="189">
        <f t="shared" ref="W17:W20" si="6">IF(D15-C15=0,0,D15-C15)</f>
        <v>40</v>
      </c>
      <c r="X17" s="190">
        <f t="shared" ref="X17:Y20" si="7">ROUND(CONVERT(C15,"lbm","kg"),0)</f>
        <v>23</v>
      </c>
      <c r="Y17" s="190">
        <f t="shared" si="7"/>
        <v>41</v>
      </c>
      <c r="Z17" s="190">
        <f t="shared" ref="Z17:Z42" si="8">CONVERT(V17,"lbm","kg")</f>
        <v>31.751465900000003</v>
      </c>
      <c r="AA17" s="75">
        <f xml:space="preserve"> -0.0012418982*Z17+ 0.3522266252</f>
        <v>0.31279453685142861</v>
      </c>
      <c r="AB17" s="163"/>
      <c r="AC17" s="163"/>
      <c r="AD17" s="170"/>
      <c r="AE17" s="163"/>
      <c r="AF17" s="163"/>
      <c r="AG17" s="163"/>
      <c r="AH17" s="163"/>
      <c r="AI17" s="163"/>
      <c r="AJ17" s="163"/>
    </row>
    <row r="18" spans="2:69" ht="20.100000000000001" customHeight="1">
      <c r="B18" s="156">
        <f t="shared" si="1"/>
        <v>4</v>
      </c>
      <c r="C18" s="156">
        <f t="shared" si="2"/>
        <v>180</v>
      </c>
      <c r="D18" s="157">
        <v>230</v>
      </c>
      <c r="E18" s="105">
        <v>1506</v>
      </c>
      <c r="F18" s="158">
        <v>0.24</v>
      </c>
      <c r="G18" s="159">
        <v>237.61</v>
      </c>
      <c r="H18" s="154">
        <f t="shared" si="0"/>
        <v>3320.1577199999997</v>
      </c>
      <c r="I18" s="160">
        <f>IFERROR(VLOOKUP($C$13,$AB$19:$AC$20,2,FALSE)*H18/10000,"")</f>
        <v>0.27985983189464025</v>
      </c>
      <c r="J18" s="159">
        <v>238.86</v>
      </c>
      <c r="K18" s="163"/>
      <c r="L18" s="163"/>
      <c r="M18" s="163"/>
      <c r="N18" s="163"/>
      <c r="O18" s="163"/>
      <c r="P18" s="163"/>
      <c r="Q18" s="187">
        <f t="shared" si="3"/>
        <v>1.2199449245579297</v>
      </c>
      <c r="R18" s="163"/>
      <c r="S18" s="187">
        <f t="shared" si="4"/>
        <v>0.99909765999437017</v>
      </c>
      <c r="T18" s="188"/>
      <c r="U18" s="175" t="s">
        <v>106</v>
      </c>
      <c r="V18" s="189">
        <f t="shared" si="5"/>
        <v>110</v>
      </c>
      <c r="W18" s="189">
        <f t="shared" si="6"/>
        <v>40</v>
      </c>
      <c r="X18" s="190">
        <f t="shared" si="7"/>
        <v>41</v>
      </c>
      <c r="Y18" s="190">
        <f t="shared" si="7"/>
        <v>59</v>
      </c>
      <c r="Z18" s="190">
        <f t="shared" si="8"/>
        <v>49.895160699999998</v>
      </c>
      <c r="AA18" s="75">
        <f t="shared" ref="AA18:AA42" si="9" xml:space="preserve"> -0.0012418982*Z18+ 0.3522266252</f>
        <v>0.29026191493795922</v>
      </c>
      <c r="AB18" s="285" t="s">
        <v>17</v>
      </c>
      <c r="AC18" s="286"/>
      <c r="AD18" s="170"/>
      <c r="AE18" s="163"/>
      <c r="AF18" s="163"/>
      <c r="AG18" s="163"/>
      <c r="AH18" s="163"/>
      <c r="AI18" s="163"/>
      <c r="AJ18" s="163"/>
    </row>
    <row r="19" spans="2:69" ht="20.100000000000001" customHeight="1">
      <c r="B19" s="156">
        <f t="shared" si="1"/>
        <v>5</v>
      </c>
      <c r="C19" s="156">
        <f t="shared" si="2"/>
        <v>230</v>
      </c>
      <c r="D19" s="157">
        <v>285</v>
      </c>
      <c r="E19" s="105">
        <v>1508</v>
      </c>
      <c r="F19" s="158">
        <v>0.23</v>
      </c>
      <c r="G19" s="159">
        <v>231.73</v>
      </c>
      <c r="H19" s="154">
        <f t="shared" si="0"/>
        <v>3324.5669599999997</v>
      </c>
      <c r="I19" s="160">
        <f>IFERROR(VLOOKUP($C$13,$AB$43:$AC$45,2,FALSE)*H19/10000,"")</f>
        <v>0.2545864226162769</v>
      </c>
      <c r="J19" s="159">
        <v>232.35</v>
      </c>
      <c r="K19" s="163"/>
      <c r="L19" s="163"/>
      <c r="M19" s="163"/>
      <c r="N19" s="163"/>
      <c r="O19" s="163"/>
      <c r="P19" s="163"/>
      <c r="Q19" s="187">
        <f t="shared" si="3"/>
        <v>1.1873922871163929</v>
      </c>
      <c r="R19" s="163"/>
      <c r="S19" s="187">
        <f t="shared" si="4"/>
        <v>0.98145534358358266</v>
      </c>
      <c r="T19" s="188"/>
      <c r="U19" s="175" t="s">
        <v>14</v>
      </c>
      <c r="V19" s="189">
        <f t="shared" si="5"/>
        <v>155</v>
      </c>
      <c r="W19" s="189">
        <f t="shared" si="6"/>
        <v>50</v>
      </c>
      <c r="X19" s="190">
        <f t="shared" si="7"/>
        <v>59</v>
      </c>
      <c r="Y19" s="190">
        <f t="shared" si="7"/>
        <v>82</v>
      </c>
      <c r="Z19" s="190">
        <f t="shared" si="8"/>
        <v>70.306817350000003</v>
      </c>
      <c r="AA19" s="75">
        <f t="shared" si="9"/>
        <v>0.26491271528530619</v>
      </c>
      <c r="AB19" s="191"/>
      <c r="AC19" s="175" t="s">
        <v>188</v>
      </c>
      <c r="AD19" s="170"/>
      <c r="AE19" s="163"/>
      <c r="AF19" s="163"/>
      <c r="AG19" s="163"/>
      <c r="AH19" s="163"/>
      <c r="AI19" s="163"/>
      <c r="AJ19" s="163"/>
    </row>
    <row r="20" spans="2:69" ht="20.100000000000001" customHeight="1">
      <c r="B20" s="156" t="str">
        <f t="shared" si="1"/>
        <v xml:space="preserve"> </v>
      </c>
      <c r="C20" s="156" t="str">
        <f t="shared" si="2"/>
        <v/>
      </c>
      <c r="D20" s="157"/>
      <c r="E20" s="105"/>
      <c r="F20" s="158"/>
      <c r="G20" s="159"/>
      <c r="H20" s="154">
        <f t="shared" si="0"/>
        <v>0</v>
      </c>
      <c r="I20" s="160" t="str">
        <f>IFERROR(VLOOKUP($C$13,$AB$48:$AC$49,2,FALSE)*H20/10000,"")</f>
        <v/>
      </c>
      <c r="J20" s="159"/>
      <c r="K20" s="163"/>
      <c r="L20" s="163"/>
      <c r="M20" s="163"/>
      <c r="N20" s="163"/>
      <c r="O20" s="163"/>
      <c r="P20" s="163"/>
      <c r="Q20" s="187">
        <f t="shared" si="3"/>
        <v>1.1821053923010845</v>
      </c>
      <c r="R20" s="163"/>
      <c r="S20" s="187">
        <f t="shared" si="4"/>
        <v>1.0137406723629696</v>
      </c>
      <c r="T20" s="188"/>
      <c r="U20" s="175" t="s">
        <v>15</v>
      </c>
      <c r="V20" s="189">
        <f t="shared" si="5"/>
        <v>205</v>
      </c>
      <c r="W20" s="189">
        <f t="shared" si="6"/>
        <v>50</v>
      </c>
      <c r="X20" s="190">
        <f t="shared" si="7"/>
        <v>82</v>
      </c>
      <c r="Y20" s="190">
        <f t="shared" si="7"/>
        <v>104</v>
      </c>
      <c r="Z20" s="190">
        <f>CONVERT(V20,"lbm","kg")</f>
        <v>92.986435850000007</v>
      </c>
      <c r="AA20" s="75">
        <f t="shared" si="9"/>
        <v>0.23674693789346951</v>
      </c>
      <c r="AB20" s="191" t="s">
        <v>5</v>
      </c>
      <c r="AC20" s="175">
        <f>0.0000306269361758696*(Z20*Z20)- 0.00966436147205444*Z20+ 1.47675067863161</f>
        <v>0.84291125752495955</v>
      </c>
      <c r="AD20" s="170"/>
      <c r="AE20" s="163"/>
      <c r="AF20" s="163"/>
      <c r="AG20" s="163"/>
      <c r="AH20" s="163"/>
      <c r="AI20" s="163"/>
      <c r="AJ20" s="163"/>
    </row>
    <row r="21" spans="2:69" s="192" customFormat="1" ht="20.100000000000001" customHeight="1">
      <c r="B21" s="240"/>
      <c r="C21" s="241"/>
      <c r="D21" s="241"/>
      <c r="E21" s="236"/>
      <c r="F21" s="242"/>
      <c r="G21" s="243"/>
      <c r="H21" s="244"/>
      <c r="I21" s="245"/>
      <c r="J21" s="243"/>
      <c r="Q21" s="246"/>
      <c r="S21" s="246"/>
      <c r="T21" s="247"/>
      <c r="U21" s="248"/>
      <c r="V21" s="249"/>
      <c r="W21" s="249"/>
      <c r="X21" s="250"/>
      <c r="Y21" s="250"/>
      <c r="Z21" s="250"/>
      <c r="AA21" s="237"/>
      <c r="AB21" s="251"/>
      <c r="AC21" s="251"/>
      <c r="AD21" s="251"/>
    </row>
    <row r="22" spans="2:69" ht="20.100000000000001" customHeight="1" thickBot="1">
      <c r="B22" s="163"/>
      <c r="C22" s="163"/>
      <c r="D22" s="163"/>
      <c r="E22" s="163"/>
      <c r="F22" s="163"/>
      <c r="G22" s="163"/>
      <c r="H22" s="163"/>
      <c r="I22" s="163"/>
      <c r="J22" s="163"/>
      <c r="K22" s="163"/>
      <c r="L22" s="163"/>
      <c r="M22" s="163"/>
      <c r="N22" s="163"/>
      <c r="O22" s="163"/>
      <c r="P22" s="163"/>
      <c r="Q22" s="187">
        <f>IFERROR(I19/AA22,"")</f>
        <v>1.2288598435245277</v>
      </c>
      <c r="R22" s="163"/>
      <c r="S22" s="187">
        <f>IFERROR(F19/AA22,"")</f>
        <v>1.1101839646674505</v>
      </c>
      <c r="T22" s="188"/>
      <c r="U22" s="175" t="s">
        <v>16</v>
      </c>
      <c r="V22" s="189">
        <f>IFERROR(AVERAGE(C19:D19),"")</f>
        <v>257.5</v>
      </c>
      <c r="W22" s="189">
        <f>IF(D19-C19=0,0,D19-C19)</f>
        <v>55</v>
      </c>
      <c r="X22" s="190">
        <f>ROUND(CONVERT(C19,"lbm","kg"),0)</f>
        <v>104</v>
      </c>
      <c r="Y22" s="190">
        <f>ROUND(CONVERT(D19,"lbm","kg"),0)</f>
        <v>129</v>
      </c>
      <c r="Z22" s="190">
        <f t="shared" si="8"/>
        <v>116.800035275</v>
      </c>
      <c r="AA22" s="75">
        <f t="shared" si="9"/>
        <v>0.20717287163204096</v>
      </c>
      <c r="AB22" s="163"/>
      <c r="AC22" s="163"/>
      <c r="AD22" s="170"/>
      <c r="AE22" s="163"/>
      <c r="AF22" s="163"/>
      <c r="AG22" s="163"/>
      <c r="AH22" s="163"/>
      <c r="AI22" s="163"/>
      <c r="AJ22" s="163"/>
    </row>
    <row r="23" spans="2:69" s="196" customFormat="1" ht="24.95" customHeight="1" thickBot="1">
      <c r="B23" s="271" t="s">
        <v>236</v>
      </c>
      <c r="C23" s="272"/>
      <c r="D23" s="272"/>
      <c r="E23" s="272"/>
      <c r="F23" s="272"/>
      <c r="G23" s="272"/>
      <c r="H23" s="272"/>
      <c r="I23" s="272"/>
      <c r="J23" s="273"/>
      <c r="K23" s="193"/>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5"/>
      <c r="AI23" s="195"/>
      <c r="AJ23" s="195"/>
      <c r="AK23" s="195"/>
      <c r="AL23" s="195"/>
      <c r="AM23" s="195"/>
      <c r="AN23" s="195"/>
      <c r="AO23" s="195"/>
      <c r="AP23" s="195"/>
      <c r="AQ23" s="195"/>
      <c r="AR23" s="195"/>
      <c r="AS23" s="195"/>
      <c r="AT23" s="195"/>
      <c r="AU23" s="195"/>
      <c r="AV23" s="195"/>
      <c r="AW23" s="195"/>
      <c r="AX23" s="195"/>
      <c r="AY23" s="195"/>
      <c r="AZ23" s="195"/>
      <c r="BA23" s="195"/>
      <c r="BB23" s="195"/>
      <c r="BC23" s="195"/>
      <c r="BD23" s="195"/>
      <c r="BE23" s="195"/>
      <c r="BF23" s="195"/>
      <c r="BG23" s="195"/>
      <c r="BH23" s="195"/>
      <c r="BI23" s="195"/>
      <c r="BJ23" s="195"/>
      <c r="BK23" s="195"/>
      <c r="BL23" s="195"/>
      <c r="BM23" s="195"/>
      <c r="BN23" s="195"/>
      <c r="BO23" s="195"/>
      <c r="BP23" s="195"/>
      <c r="BQ23" s="195"/>
    </row>
    <row r="24" spans="2:69" s="196" customFormat="1" ht="24.95" customHeight="1">
      <c r="B24" s="274" t="str">
        <f>IFERROR((CONCATENATE("Using PIC biological requirement levels will "&amp;B66&amp;" the current growth rate"&amp;IF(C66=0,""," by ")&amp;IF(C66=0,"",FIXED(C66,2))&amp;IF(C66=0,"","%")&amp;IF(AND(C66=0,C67=0)," or"," and ")&amp;IF(AND(C66=0,C67=0),"",B67)&amp;" feed efficiency"&amp;IF(C67=0,""," by ")&amp;IF(C67=0,"",FIXED(C67,2))&amp;IF(C67=0,"","%")&amp;IF(AND(E6="Carcass",E9&lt;76),CONCATENATE(", and "&amp;B68&amp;" carcass yield"&amp;IF(C68=0,""," by ")&amp;IF(C68=0,"",FIXED(C68,2))&amp;IF(C68=0,"","%")),"")&amp;IF(C73=0,".",B73)&amp;IF(C73=0,"",FIXED(C73,2))&amp;IF(C73=0,""," per pig in ")&amp;IF(C73=0,"",G45)&amp;IF(C73=0,""," given the current ingredients and pig prices."))),"")</f>
        <v>Using PIC biological requirement levels will increase the current growth rate by 0.94% and improve feed efficiency by 0.22%; however, resulting in losses of $0.26 per pig in IOFFC given the current ingredients and pig prices.</v>
      </c>
      <c r="C24" s="275"/>
      <c r="D24" s="275"/>
      <c r="E24" s="275"/>
      <c r="F24" s="275"/>
      <c r="G24" s="275"/>
      <c r="H24" s="275"/>
      <c r="I24" s="275"/>
      <c r="J24" s="276"/>
      <c r="K24" s="193"/>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5"/>
      <c r="AI24" s="195"/>
      <c r="AJ24" s="195"/>
      <c r="AK24" s="195"/>
      <c r="AL24" s="195"/>
      <c r="AM24" s="195"/>
      <c r="AN24" s="195"/>
      <c r="AO24" s="195"/>
      <c r="AP24" s="195"/>
      <c r="AQ24" s="195"/>
      <c r="AR24" s="195"/>
      <c r="AS24" s="195"/>
      <c r="AT24" s="195"/>
      <c r="AU24" s="195"/>
      <c r="AV24" s="195"/>
      <c r="AW24" s="195"/>
      <c r="AX24" s="195"/>
      <c r="AY24" s="195"/>
      <c r="AZ24" s="195"/>
      <c r="BA24" s="195"/>
      <c r="BB24" s="195"/>
      <c r="BC24" s="195"/>
      <c r="BD24" s="195"/>
      <c r="BE24" s="195"/>
      <c r="BF24" s="195"/>
      <c r="BG24" s="195"/>
      <c r="BH24" s="195"/>
      <c r="BI24" s="195"/>
      <c r="BJ24" s="195"/>
      <c r="BK24" s="195"/>
      <c r="BL24" s="195"/>
      <c r="BM24" s="195"/>
      <c r="BN24" s="195"/>
      <c r="BO24" s="195"/>
      <c r="BP24" s="195"/>
      <c r="BQ24" s="195"/>
    </row>
    <row r="25" spans="2:69" s="196" customFormat="1" ht="24.95" customHeight="1">
      <c r="B25" s="277"/>
      <c r="C25" s="278"/>
      <c r="D25" s="278"/>
      <c r="E25" s="278"/>
      <c r="F25" s="278"/>
      <c r="G25" s="278"/>
      <c r="H25" s="278"/>
      <c r="I25" s="278"/>
      <c r="J25" s="279"/>
      <c r="K25" s="193"/>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5"/>
      <c r="AI25" s="195"/>
      <c r="AJ25" s="195"/>
      <c r="AK25" s="195"/>
      <c r="AL25" s="195"/>
      <c r="AM25" s="195"/>
      <c r="AN25" s="195"/>
      <c r="AO25" s="195"/>
      <c r="AP25" s="195"/>
      <c r="AQ25" s="195"/>
      <c r="AR25" s="195"/>
      <c r="AS25" s="195"/>
      <c r="AT25" s="195"/>
      <c r="AU25" s="195"/>
      <c r="AV25" s="195"/>
      <c r="AW25" s="195"/>
      <c r="AX25" s="195"/>
      <c r="AY25" s="195"/>
      <c r="AZ25" s="195"/>
      <c r="BA25" s="195"/>
      <c r="BB25" s="195"/>
      <c r="BC25" s="195"/>
      <c r="BD25" s="195"/>
      <c r="BE25" s="195"/>
      <c r="BF25" s="195"/>
      <c r="BG25" s="195"/>
      <c r="BH25" s="195"/>
      <c r="BI25" s="195"/>
      <c r="BJ25" s="195"/>
      <c r="BK25" s="195"/>
      <c r="BL25" s="195"/>
      <c r="BM25" s="195"/>
      <c r="BN25" s="195"/>
      <c r="BO25" s="195"/>
      <c r="BP25" s="195"/>
      <c r="BQ25" s="195"/>
    </row>
    <row r="26" spans="2:69" s="196" customFormat="1" ht="24.95" customHeight="1" thickBot="1">
      <c r="B26" s="280" t="str">
        <f>IFERROR(B75,"")</f>
        <v>In this scenario, it isn't economical to feed PIC STTD phosphorus biological levels.</v>
      </c>
      <c r="C26" s="281"/>
      <c r="D26" s="281"/>
      <c r="E26" s="281"/>
      <c r="F26" s="281"/>
      <c r="G26" s="281"/>
      <c r="H26" s="281"/>
      <c r="I26" s="281"/>
      <c r="J26" s="282"/>
      <c r="K26" s="193"/>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5"/>
      <c r="AI26" s="195"/>
      <c r="AJ26" s="195"/>
      <c r="AK26" s="195"/>
      <c r="AL26" s="195"/>
      <c r="AM26" s="195"/>
      <c r="AN26" s="195"/>
      <c r="AO26" s="195"/>
      <c r="AP26" s="195"/>
      <c r="AQ26" s="195"/>
      <c r="AR26" s="195"/>
      <c r="AS26" s="195"/>
      <c r="AT26" s="195"/>
      <c r="AU26" s="195"/>
      <c r="AV26" s="195"/>
      <c r="AW26" s="195"/>
      <c r="AX26" s="195"/>
      <c r="AY26" s="195"/>
      <c r="AZ26" s="195"/>
      <c r="BA26" s="195"/>
      <c r="BB26" s="195"/>
      <c r="BC26" s="195"/>
      <c r="BD26" s="195"/>
      <c r="BE26" s="195"/>
      <c r="BF26" s="195"/>
      <c r="BG26" s="195"/>
      <c r="BH26" s="195"/>
      <c r="BI26" s="195"/>
      <c r="BJ26" s="195"/>
      <c r="BK26" s="195"/>
      <c r="BL26" s="195"/>
      <c r="BM26" s="195"/>
      <c r="BN26" s="195"/>
      <c r="BO26" s="195"/>
      <c r="BP26" s="195"/>
      <c r="BQ26" s="195"/>
    </row>
    <row r="27" spans="2:69" ht="20.100000000000001" customHeight="1" thickBot="1">
      <c r="B27" s="150"/>
      <c r="C27" s="150"/>
      <c r="D27" s="150"/>
      <c r="E27" s="150"/>
      <c r="F27" s="150"/>
      <c r="G27" s="150"/>
      <c r="H27" s="150"/>
      <c r="I27" s="150"/>
      <c r="J27" s="150"/>
      <c r="K27" s="150"/>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63"/>
      <c r="AI27" s="163"/>
      <c r="AJ27" s="163"/>
      <c r="BJ27" s="163"/>
      <c r="BK27" s="163"/>
      <c r="BL27" s="163"/>
      <c r="BM27" s="163"/>
      <c r="BN27" s="163"/>
      <c r="BO27" s="163"/>
      <c r="BP27" s="163"/>
      <c r="BQ27" s="163"/>
    </row>
    <row r="28" spans="2:69" s="196" customFormat="1" ht="24.95" customHeight="1" thickBot="1">
      <c r="B28" s="271" t="s">
        <v>237</v>
      </c>
      <c r="C28" s="272"/>
      <c r="D28" s="272"/>
      <c r="E28" s="272"/>
      <c r="F28" s="272"/>
      <c r="G28" s="272"/>
      <c r="H28" s="272"/>
      <c r="I28" s="272"/>
      <c r="J28" s="273"/>
      <c r="K28" s="193"/>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5"/>
      <c r="AI28" s="195"/>
      <c r="AJ28" s="195"/>
      <c r="AK28" s="195"/>
      <c r="AL28" s="195"/>
      <c r="AM28" s="195"/>
      <c r="AN28" s="195"/>
      <c r="AO28" s="195"/>
      <c r="AP28" s="195"/>
      <c r="AQ28" s="195"/>
      <c r="AR28" s="195"/>
      <c r="AS28" s="195"/>
      <c r="AT28" s="195"/>
      <c r="AU28" s="195"/>
      <c r="AV28" s="195"/>
      <c r="AW28" s="195"/>
      <c r="AX28" s="195"/>
      <c r="AY28" s="195"/>
      <c r="AZ28" s="195"/>
      <c r="BA28" s="195"/>
      <c r="BB28" s="195"/>
      <c r="BC28" s="195"/>
      <c r="BD28" s="195"/>
      <c r="BE28" s="195"/>
      <c r="BF28" s="195"/>
      <c r="BG28" s="195"/>
      <c r="BH28" s="195"/>
      <c r="BI28" s="195"/>
      <c r="BJ28" s="195"/>
      <c r="BK28" s="195"/>
      <c r="BL28" s="195"/>
      <c r="BM28" s="195"/>
      <c r="BN28" s="195"/>
      <c r="BO28" s="195"/>
      <c r="BP28" s="195"/>
      <c r="BQ28" s="195"/>
    </row>
    <row r="29" spans="2:69" s="196" customFormat="1" ht="24.95" customHeight="1">
      <c r="B29" s="274" t="str">
        <f>IFERROR((CONCATENATE("Using PIC biological requirement levels will "&amp;B70&amp;" the current growth rate"&amp;IF(C70=0,""," by ")&amp;IF(C70=0,"",FIXED(C70,2))&amp;IF(C70=0,"","%")&amp;IF(AND(C70=0,C71=0)," or"," and ")&amp;IF(AND(C70=0,C71=0),"",B71)&amp;" feed efficiency"&amp;IF(C71=0,""," by ")&amp;IF(C71=0,"",FIXED(C71,2))&amp;IF(C71=0,"","%")&amp;IF(AND(E6="Carcass",E9&lt;76),CONCATENATE(", and "&amp;B72&amp;" carcass yield"&amp;IF(C72=0,""," by ")&amp;IF(C72=0,"",FIXED(C72,2))&amp;IF(C72=0,"","%")),"")&amp;IF(C74=0,".",B74)&amp;IF(C74=0,"",FIXED(C74,2))&amp;IF(C74=0,""," per pig in ")&amp;IF(C74=0,"",G47)&amp;IF(C74=0,""," given the current ingredients and pig prices."))),"")</f>
        <v>Using PIC biological requirement levels will increase the current growth rate by 0.94% and improve feed efficiency by 0.22%, resulting in gains of $1.21 per pig in IOFC given the current ingredients and pig prices.</v>
      </c>
      <c r="C29" s="275"/>
      <c r="D29" s="275"/>
      <c r="E29" s="275"/>
      <c r="F29" s="275"/>
      <c r="G29" s="275"/>
      <c r="H29" s="275"/>
      <c r="I29" s="275"/>
      <c r="J29" s="276"/>
      <c r="K29" s="193"/>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5"/>
      <c r="AI29" s="195"/>
      <c r="AJ29" s="195"/>
      <c r="AK29" s="195"/>
      <c r="AL29" s="195"/>
      <c r="AM29" s="195"/>
      <c r="AN29" s="195"/>
      <c r="AO29" s="195"/>
      <c r="AP29" s="195"/>
      <c r="AQ29" s="195"/>
      <c r="AR29" s="195"/>
      <c r="AS29" s="195"/>
      <c r="AT29" s="195"/>
      <c r="AU29" s="195"/>
      <c r="AV29" s="195"/>
      <c r="AW29" s="195"/>
      <c r="AX29" s="195"/>
      <c r="AY29" s="195"/>
      <c r="AZ29" s="195"/>
      <c r="BA29" s="195"/>
      <c r="BB29" s="195"/>
      <c r="BC29" s="195"/>
      <c r="BD29" s="195"/>
      <c r="BE29" s="195"/>
      <c r="BF29" s="195"/>
      <c r="BG29" s="195"/>
      <c r="BH29" s="195"/>
      <c r="BI29" s="195"/>
      <c r="BJ29" s="195"/>
      <c r="BK29" s="195"/>
      <c r="BL29" s="195"/>
      <c r="BM29" s="195"/>
      <c r="BN29" s="195"/>
      <c r="BO29" s="195"/>
      <c r="BP29" s="195"/>
      <c r="BQ29" s="195"/>
    </row>
    <row r="30" spans="2:69" s="196" customFormat="1" ht="24.95" customHeight="1">
      <c r="B30" s="277"/>
      <c r="C30" s="278"/>
      <c r="D30" s="278"/>
      <c r="E30" s="278"/>
      <c r="F30" s="278"/>
      <c r="G30" s="278"/>
      <c r="H30" s="278"/>
      <c r="I30" s="278"/>
      <c r="J30" s="279"/>
      <c r="K30" s="193"/>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5"/>
      <c r="AI30" s="195"/>
      <c r="AJ30" s="195"/>
      <c r="AK30" s="195"/>
      <c r="AL30" s="195"/>
      <c r="AM30" s="195"/>
      <c r="AN30" s="195"/>
      <c r="AO30" s="195"/>
      <c r="AP30" s="195"/>
      <c r="AQ30" s="195"/>
      <c r="AR30" s="195"/>
      <c r="AS30" s="195"/>
      <c r="AT30" s="195"/>
      <c r="AU30" s="195"/>
      <c r="AV30" s="195"/>
      <c r="AW30" s="195"/>
      <c r="AX30" s="195"/>
      <c r="AY30" s="195"/>
      <c r="AZ30" s="195"/>
      <c r="BA30" s="195"/>
      <c r="BB30" s="195"/>
      <c r="BC30" s="195"/>
      <c r="BD30" s="195"/>
      <c r="BE30" s="195"/>
      <c r="BF30" s="195"/>
      <c r="BG30" s="195"/>
      <c r="BH30" s="195"/>
      <c r="BI30" s="195"/>
      <c r="BJ30" s="195"/>
      <c r="BK30" s="195"/>
      <c r="BL30" s="195"/>
      <c r="BM30" s="195"/>
      <c r="BN30" s="195"/>
      <c r="BO30" s="195"/>
      <c r="BP30" s="195"/>
      <c r="BQ30" s="195"/>
    </row>
    <row r="31" spans="2:69" s="196" customFormat="1" ht="24.95" customHeight="1" thickBot="1">
      <c r="B31" s="280" t="str">
        <f>IFERROR(B76,"")</f>
        <v>In this scenario, it is economical to feed PIC STTD phosphorus biological levels.</v>
      </c>
      <c r="C31" s="281"/>
      <c r="D31" s="281"/>
      <c r="E31" s="281"/>
      <c r="F31" s="281"/>
      <c r="G31" s="281"/>
      <c r="H31" s="281"/>
      <c r="I31" s="281"/>
      <c r="J31" s="282"/>
      <c r="K31" s="193"/>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c r="BI31" s="195"/>
      <c r="BJ31" s="195"/>
      <c r="BK31" s="195"/>
      <c r="BL31" s="195"/>
      <c r="BM31" s="195"/>
      <c r="BN31" s="195"/>
      <c r="BO31" s="195"/>
      <c r="BP31" s="195"/>
      <c r="BQ31" s="195"/>
    </row>
    <row r="32" spans="2:69" ht="20.100000000000001" customHeight="1">
      <c r="B32" s="150"/>
      <c r="C32" s="150"/>
      <c r="D32" s="150"/>
      <c r="E32" s="150"/>
      <c r="F32" s="150"/>
      <c r="G32" s="150"/>
      <c r="H32" s="150"/>
      <c r="I32" s="150"/>
      <c r="J32" s="150"/>
      <c r="K32" s="150"/>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63"/>
      <c r="AI32" s="163"/>
      <c r="AJ32" s="163"/>
      <c r="BJ32" s="163"/>
      <c r="BK32" s="163"/>
      <c r="BL32" s="163"/>
      <c r="BM32" s="163"/>
      <c r="BN32" s="163"/>
      <c r="BO32" s="163"/>
      <c r="BP32" s="163"/>
      <c r="BQ32" s="163"/>
    </row>
    <row r="33" spans="2:69" ht="20.100000000000001" customHeight="1">
      <c r="B33" s="307" t="s">
        <v>232</v>
      </c>
      <c r="C33" s="283" t="s">
        <v>233</v>
      </c>
      <c r="D33" s="283"/>
      <c r="E33" s="283"/>
      <c r="F33" s="283"/>
      <c r="G33" s="283"/>
      <c r="H33" s="283"/>
      <c r="I33" s="283"/>
      <c r="J33" s="283"/>
      <c r="K33" s="163"/>
      <c r="L33" s="163"/>
      <c r="M33" s="163"/>
      <c r="N33" s="163"/>
      <c r="O33" s="163"/>
      <c r="P33" s="163"/>
      <c r="Q33" s="163"/>
      <c r="R33" s="163"/>
      <c r="S33" s="163"/>
      <c r="T33" s="163"/>
      <c r="U33" s="163"/>
      <c r="V33" s="163"/>
      <c r="W33" s="198"/>
      <c r="X33" s="198"/>
      <c r="Y33" s="198"/>
      <c r="Z33" s="163"/>
      <c r="AA33" s="163"/>
      <c r="AB33" s="170"/>
      <c r="AC33" s="170"/>
      <c r="AD33" s="170"/>
      <c r="AE33" s="170"/>
      <c r="AF33" s="163"/>
      <c r="AG33" s="163"/>
      <c r="AH33" s="163"/>
      <c r="AI33" s="163"/>
      <c r="AJ33" s="163"/>
      <c r="BJ33" s="163"/>
      <c r="BK33" s="163"/>
      <c r="BL33" s="163"/>
      <c r="BM33" s="163"/>
      <c r="BN33" s="163"/>
      <c r="BO33" s="163"/>
      <c r="BP33" s="163"/>
      <c r="BQ33" s="163"/>
    </row>
    <row r="34" spans="2:69" ht="20.100000000000001" customHeight="1">
      <c r="B34" s="308"/>
      <c r="C34" s="283"/>
      <c r="D34" s="283"/>
      <c r="E34" s="283"/>
      <c r="F34" s="283"/>
      <c r="G34" s="283"/>
      <c r="H34" s="283"/>
      <c r="I34" s="283"/>
      <c r="J34" s="283"/>
      <c r="K34" s="163"/>
      <c r="L34" s="163"/>
      <c r="M34" s="163"/>
      <c r="N34" s="163"/>
      <c r="O34" s="163"/>
      <c r="P34" s="163"/>
      <c r="Q34" s="163"/>
      <c r="R34" s="163"/>
      <c r="S34" s="163"/>
      <c r="T34" s="163"/>
      <c r="U34" s="163"/>
      <c r="V34" s="163"/>
      <c r="W34" s="198"/>
      <c r="X34" s="198"/>
      <c r="Y34" s="198"/>
      <c r="Z34" s="163"/>
      <c r="AA34" s="163"/>
      <c r="AB34" s="170"/>
      <c r="AC34" s="170"/>
      <c r="AD34" s="170"/>
      <c r="AE34" s="170"/>
      <c r="AF34" s="163"/>
      <c r="AG34" s="163"/>
      <c r="AH34" s="163"/>
      <c r="AI34" s="163"/>
      <c r="AJ34" s="163"/>
      <c r="BJ34" s="163"/>
      <c r="BK34" s="163"/>
      <c r="BL34" s="163"/>
      <c r="BM34" s="163"/>
      <c r="BN34" s="163"/>
      <c r="BO34" s="163"/>
      <c r="BP34" s="163"/>
      <c r="BQ34" s="163"/>
    </row>
    <row r="35" spans="2:69" ht="20.100000000000001" customHeight="1">
      <c r="B35" s="284" t="s">
        <v>238</v>
      </c>
      <c r="C35" s="284"/>
      <c r="D35" s="284"/>
      <c r="E35" s="284"/>
      <c r="F35" s="284"/>
      <c r="G35" s="284"/>
      <c r="H35" s="284"/>
      <c r="I35" s="284"/>
      <c r="J35" s="284"/>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63"/>
      <c r="AI35" s="163"/>
      <c r="AJ35" s="163"/>
      <c r="BJ35" s="163"/>
      <c r="BK35" s="163"/>
      <c r="BL35" s="163"/>
      <c r="BM35" s="163"/>
      <c r="BN35" s="163"/>
      <c r="BO35" s="163"/>
      <c r="BP35" s="163"/>
      <c r="BQ35" s="163"/>
    </row>
    <row r="36" spans="2:69" ht="20.100000000000001" customHeight="1">
      <c r="B36" s="284"/>
      <c r="C36" s="284"/>
      <c r="D36" s="284"/>
      <c r="E36" s="284"/>
      <c r="F36" s="284"/>
      <c r="G36" s="284"/>
      <c r="H36" s="284"/>
      <c r="I36" s="284"/>
      <c r="J36" s="284"/>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63"/>
      <c r="AI36" s="163"/>
      <c r="AJ36" s="163"/>
      <c r="BJ36" s="163"/>
      <c r="BK36" s="163"/>
      <c r="BL36" s="163"/>
      <c r="BM36" s="163"/>
      <c r="BN36" s="163"/>
      <c r="BO36" s="163"/>
      <c r="BP36" s="163"/>
      <c r="BQ36" s="163"/>
    </row>
    <row r="37" spans="2:69" ht="20.100000000000001" customHeight="1">
      <c r="B37" s="284"/>
      <c r="C37" s="284"/>
      <c r="D37" s="284"/>
      <c r="E37" s="284"/>
      <c r="F37" s="284"/>
      <c r="G37" s="284"/>
      <c r="H37" s="284"/>
      <c r="I37" s="284"/>
      <c r="J37" s="284"/>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63"/>
      <c r="AI37" s="163"/>
      <c r="AJ37" s="163"/>
      <c r="BJ37" s="163"/>
      <c r="BK37" s="163"/>
      <c r="BL37" s="163"/>
      <c r="BM37" s="163"/>
      <c r="BN37" s="163"/>
      <c r="BO37" s="163"/>
      <c r="BP37" s="163"/>
      <c r="BQ37" s="163"/>
    </row>
    <row r="38" spans="2:69" ht="20.100000000000001" customHeight="1">
      <c r="B38" s="284"/>
      <c r="C38" s="284"/>
      <c r="D38" s="284"/>
      <c r="E38" s="284"/>
      <c r="F38" s="284"/>
      <c r="G38" s="284"/>
      <c r="H38" s="284"/>
      <c r="I38" s="284"/>
      <c r="J38" s="284"/>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63"/>
      <c r="AI38" s="163"/>
      <c r="AJ38" s="163"/>
      <c r="BJ38" s="163"/>
      <c r="BK38" s="163"/>
      <c r="BL38" s="163"/>
      <c r="BM38" s="163"/>
      <c r="BN38" s="163"/>
      <c r="BO38" s="163"/>
      <c r="BP38" s="163"/>
      <c r="BQ38" s="163"/>
    </row>
    <row r="39" spans="2:69" ht="20.100000000000001" customHeight="1">
      <c r="B39" s="284"/>
      <c r="C39" s="284"/>
      <c r="D39" s="284"/>
      <c r="E39" s="284"/>
      <c r="F39" s="284"/>
      <c r="G39" s="284"/>
      <c r="H39" s="284"/>
      <c r="I39" s="284"/>
      <c r="J39" s="284"/>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63"/>
      <c r="AI39" s="163"/>
      <c r="AJ39" s="163"/>
      <c r="BJ39" s="163"/>
      <c r="BK39" s="163"/>
      <c r="BL39" s="163"/>
      <c r="BM39" s="163"/>
      <c r="BN39" s="163"/>
      <c r="BO39" s="163"/>
      <c r="BP39" s="163"/>
      <c r="BQ39" s="163"/>
    </row>
    <row r="40" spans="2:69" ht="20.100000000000001" customHeight="1">
      <c r="B40" s="284"/>
      <c r="C40" s="284"/>
      <c r="D40" s="284"/>
      <c r="E40" s="284"/>
      <c r="F40" s="284"/>
      <c r="G40" s="284"/>
      <c r="H40" s="284"/>
      <c r="I40" s="284"/>
      <c r="J40" s="284"/>
      <c r="K40" s="163"/>
      <c r="L40" s="163"/>
      <c r="M40" s="163"/>
      <c r="N40" s="163"/>
      <c r="O40" s="163"/>
      <c r="P40" s="163"/>
      <c r="Q40" s="163"/>
      <c r="R40" s="163"/>
      <c r="S40" s="163"/>
      <c r="T40" s="163"/>
      <c r="U40" s="198" t="e">
        <f>I15*#REF!</f>
        <v>#REF!</v>
      </c>
      <c r="V40" s="163"/>
      <c r="W40" s="198">
        <f>AA20*1.22</f>
        <v>0.2888312642300328</v>
      </c>
      <c r="X40" s="198">
        <f>W40*$U$51</f>
        <v>0</v>
      </c>
      <c r="Y40" s="198">
        <f>W40*$U$50</f>
        <v>0.51556380665060852</v>
      </c>
      <c r="Z40" s="163"/>
      <c r="AA40" s="163"/>
      <c r="AB40" s="170"/>
      <c r="AC40" s="170"/>
      <c r="AD40" s="170"/>
      <c r="AE40" s="170"/>
      <c r="AF40" s="163"/>
      <c r="AG40" s="163"/>
      <c r="AH40" s="163"/>
      <c r="AI40" s="163"/>
      <c r="AJ40" s="163"/>
      <c r="BJ40" s="163"/>
      <c r="BK40" s="163"/>
      <c r="BL40" s="163"/>
      <c r="BM40" s="163"/>
      <c r="BN40" s="163"/>
      <c r="BO40" s="163"/>
      <c r="BP40" s="163"/>
      <c r="BQ40" s="163"/>
    </row>
    <row r="41" spans="2:69" ht="16.5" hidden="1" thickBot="1">
      <c r="B41" s="192"/>
      <c r="C41" s="192"/>
      <c r="D41" s="192"/>
      <c r="E41" s="192"/>
      <c r="F41" s="192"/>
      <c r="G41" s="192"/>
      <c r="H41" s="192"/>
      <c r="I41" s="192"/>
      <c r="J41" s="192"/>
      <c r="K41" s="192"/>
      <c r="L41" s="163"/>
      <c r="M41" s="163"/>
      <c r="N41" s="163"/>
      <c r="O41" s="163"/>
      <c r="P41" s="163"/>
      <c r="Q41" s="188"/>
      <c r="R41" s="163"/>
      <c r="S41" s="188"/>
      <c r="T41" s="188"/>
      <c r="U41" s="170"/>
      <c r="V41" s="189"/>
      <c r="W41" s="189"/>
      <c r="X41" s="199"/>
      <c r="Y41" s="199"/>
      <c r="Z41" s="199"/>
      <c r="AA41" s="141"/>
      <c r="AB41" s="234"/>
      <c r="AC41" s="235"/>
      <c r="AD41" s="170"/>
      <c r="AE41" s="163"/>
      <c r="AF41" s="163"/>
      <c r="AG41" s="163"/>
      <c r="AH41" s="163"/>
      <c r="AI41" s="163"/>
      <c r="AJ41" s="163"/>
      <c r="BJ41" s="163"/>
      <c r="BK41" s="163"/>
      <c r="BL41" s="163"/>
      <c r="BM41" s="163"/>
      <c r="BN41" s="163"/>
      <c r="BO41" s="163"/>
      <c r="BP41" s="163"/>
      <c r="BQ41" s="163"/>
    </row>
    <row r="42" spans="2:69" ht="21.75" hidden="1" thickBot="1">
      <c r="B42" s="163"/>
      <c r="C42" s="328" t="s">
        <v>228</v>
      </c>
      <c r="D42" s="329"/>
      <c r="E42" s="330"/>
      <c r="F42" s="163"/>
      <c r="G42" s="328" t="s">
        <v>229</v>
      </c>
      <c r="H42" s="329"/>
      <c r="I42" s="330"/>
      <c r="J42" s="163"/>
      <c r="K42" s="163"/>
      <c r="L42" s="163"/>
      <c r="M42" s="163"/>
      <c r="N42" s="163"/>
      <c r="O42" s="163"/>
      <c r="P42" s="163"/>
      <c r="Q42" s="187" t="str">
        <f>IFERROR(I20/AA42,"")</f>
        <v/>
      </c>
      <c r="R42" s="163"/>
      <c r="S42" s="187" t="str">
        <f>IFERROR(F20/AA42,"")</f>
        <v/>
      </c>
      <c r="T42" s="188"/>
      <c r="U42" s="175" t="s">
        <v>16</v>
      </c>
      <c r="V42" s="189" t="str">
        <f>IFERROR(AVERAGE(C20:D20),"")</f>
        <v/>
      </c>
      <c r="W42" s="189" t="e">
        <f>IF(D20-C20=0,0,D20-C20)</f>
        <v>#VALUE!</v>
      </c>
      <c r="X42" s="190" t="e">
        <f>ROUND(CONVERT(C20,"lbm","kg"),0)</f>
        <v>#VALUE!</v>
      </c>
      <c r="Y42" s="190">
        <f>ROUND(CONVERT(D20,"lbm","kg"),0)</f>
        <v>0</v>
      </c>
      <c r="Z42" s="190" t="e">
        <f t="shared" si="8"/>
        <v>#VALUE!</v>
      </c>
      <c r="AA42" s="75" t="e">
        <f t="shared" si="9"/>
        <v>#VALUE!</v>
      </c>
      <c r="AB42" s="285" t="s">
        <v>19</v>
      </c>
      <c r="AC42" s="286"/>
      <c r="AD42" s="170"/>
      <c r="AE42" s="163"/>
      <c r="AF42" s="163"/>
      <c r="AG42" s="163"/>
      <c r="AH42" s="163"/>
      <c r="AI42" s="163"/>
      <c r="AJ42" s="163"/>
    </row>
    <row r="43" spans="2:69" ht="82.5" hidden="1" customHeight="1" thickBot="1">
      <c r="B43" s="163"/>
      <c r="C43" s="322" t="s">
        <v>234</v>
      </c>
      <c r="D43" s="323"/>
      <c r="E43" s="324"/>
      <c r="F43" s="163"/>
      <c r="G43" s="322" t="s">
        <v>235</v>
      </c>
      <c r="H43" s="323"/>
      <c r="I43" s="324"/>
      <c r="J43" s="163"/>
      <c r="K43" s="163"/>
      <c r="L43" s="163"/>
      <c r="M43" s="163"/>
      <c r="N43" s="163"/>
      <c r="O43" s="163"/>
      <c r="P43" s="163"/>
      <c r="Q43" s="163"/>
      <c r="R43" s="163"/>
      <c r="S43" s="170"/>
      <c r="T43" s="188"/>
      <c r="U43" s="163"/>
      <c r="V43" s="189" t="s">
        <v>18</v>
      </c>
      <c r="W43" s="200">
        <f>SUM(W17:W22)</f>
        <v>235</v>
      </c>
      <c r="X43" s="163"/>
      <c r="Y43" s="163"/>
      <c r="Z43" s="163"/>
      <c r="AA43" s="163"/>
      <c r="AB43" s="175"/>
      <c r="AC43" s="175" t="s">
        <v>188</v>
      </c>
      <c r="AD43" s="170"/>
      <c r="AE43" s="163"/>
      <c r="AF43" s="163"/>
      <c r="AG43" s="163"/>
      <c r="AH43" s="163"/>
      <c r="AI43" s="163"/>
      <c r="AJ43" s="163"/>
    </row>
    <row r="44" spans="2:69" ht="22.35" hidden="1" customHeight="1">
      <c r="B44" s="163"/>
      <c r="C44" s="325" t="s">
        <v>222</v>
      </c>
      <c r="D44" s="326"/>
      <c r="E44" s="327"/>
      <c r="F44" s="163"/>
      <c r="G44" s="325" t="s">
        <v>222</v>
      </c>
      <c r="H44" s="326"/>
      <c r="I44" s="327"/>
      <c r="J44" s="163"/>
      <c r="K44" s="163"/>
      <c r="L44" s="163"/>
      <c r="M44" s="163"/>
      <c r="N44" s="163"/>
      <c r="O44" s="163"/>
      <c r="P44" s="163"/>
      <c r="Q44" s="163"/>
      <c r="R44" s="163"/>
      <c r="S44" s="170"/>
      <c r="T44" s="188"/>
      <c r="U44" s="163"/>
      <c r="V44" s="252"/>
      <c r="W44" s="253"/>
      <c r="X44" s="163"/>
      <c r="Y44" s="163"/>
      <c r="Z44" s="163"/>
      <c r="AA44" s="163"/>
      <c r="AB44" s="175"/>
      <c r="AC44" s="175"/>
      <c r="AD44" s="170"/>
      <c r="AE44" s="163"/>
      <c r="AF44" s="163"/>
      <c r="AG44" s="163"/>
      <c r="AH44" s="163"/>
      <c r="AI44" s="163"/>
      <c r="AJ44" s="163"/>
    </row>
    <row r="45" spans="2:69" ht="21" hidden="1">
      <c r="B45" s="163"/>
      <c r="C45" s="290" t="s">
        <v>225</v>
      </c>
      <c r="D45" s="291"/>
      <c r="E45" s="137">
        <f>IFERROR(F55,"")</f>
        <v>9.4448905487646631E-3</v>
      </c>
      <c r="F45" s="163"/>
      <c r="G45" s="290" t="str">
        <f>IF($E$10&gt;0,"IOFFC","IOFC")</f>
        <v>IOFFC</v>
      </c>
      <c r="H45" s="291"/>
      <c r="I45" s="140">
        <f>IFERROR(IF($G$45="IOFFC",$F$63,$F$62),"")</f>
        <v>-0.257966382443783</v>
      </c>
      <c r="J45" s="163"/>
      <c r="K45" s="163"/>
      <c r="L45" s="163"/>
      <c r="M45" s="163"/>
      <c r="N45" s="163"/>
      <c r="O45" s="163"/>
      <c r="P45" s="163"/>
      <c r="Q45" s="163"/>
      <c r="R45" s="163"/>
      <c r="S45" s="170"/>
      <c r="T45" s="188"/>
      <c r="U45" s="163"/>
      <c r="V45" s="163"/>
      <c r="W45" s="163"/>
      <c r="X45" s="163"/>
      <c r="Y45" s="163"/>
      <c r="Z45" s="163"/>
      <c r="AA45" s="163"/>
      <c r="AB45" s="175" t="s">
        <v>5</v>
      </c>
      <c r="AC45" s="175">
        <f>0.0000306269361758696*(Z22*Z22)- 0.00966436147205444*Z22+ 1.47675067863161</f>
        <v>0.76577318393453842</v>
      </c>
      <c r="AD45" s="170"/>
      <c r="AF45" s="163"/>
      <c r="AG45" s="163"/>
      <c r="AH45" s="163"/>
      <c r="AI45" s="163"/>
      <c r="AJ45" s="163"/>
    </row>
    <row r="46" spans="2:69" ht="21" hidden="1">
      <c r="B46" s="163"/>
      <c r="C46" s="290" t="s">
        <v>226</v>
      </c>
      <c r="D46" s="291"/>
      <c r="E46" s="137">
        <f>IFERROR(F56,"")</f>
        <v>2.2184915146988083E-3</v>
      </c>
      <c r="F46" s="163"/>
      <c r="G46" s="304" t="s">
        <v>223</v>
      </c>
      <c r="H46" s="305"/>
      <c r="I46" s="306"/>
      <c r="J46" s="163"/>
      <c r="K46" s="163"/>
      <c r="L46" s="163"/>
      <c r="M46" s="163"/>
      <c r="N46" s="163"/>
      <c r="O46" s="163"/>
      <c r="P46" s="163"/>
      <c r="Q46" s="163"/>
      <c r="R46" s="163"/>
      <c r="S46" s="170"/>
      <c r="T46" s="170"/>
      <c r="U46" s="163"/>
      <c r="V46" s="163"/>
      <c r="W46" s="163"/>
      <c r="X46" s="163"/>
      <c r="Y46" s="163"/>
      <c r="Z46" s="163"/>
      <c r="AA46" s="163"/>
      <c r="AD46" s="170"/>
      <c r="AE46" s="163"/>
      <c r="AF46" s="163"/>
      <c r="AG46" s="163"/>
      <c r="AH46" s="163"/>
      <c r="AI46" s="163"/>
      <c r="AJ46" s="163"/>
    </row>
    <row r="47" spans="2:69" ht="21" hidden="1" customHeight="1" thickBot="1">
      <c r="B47" s="163"/>
      <c r="C47" s="230" t="s">
        <v>224</v>
      </c>
      <c r="D47" s="231"/>
      <c r="E47" s="137">
        <f>IFERROR(F57,"")</f>
        <v>-3.160039132901399E-3</v>
      </c>
      <c r="F47" s="163"/>
      <c r="G47" s="228" t="s">
        <v>227</v>
      </c>
      <c r="H47" s="229"/>
      <c r="I47" s="139">
        <f>IFERROR($L$62,"")</f>
        <v>1.2119748767698013</v>
      </c>
      <c r="J47" s="163"/>
      <c r="K47" s="163"/>
      <c r="L47" s="163"/>
      <c r="M47" s="163"/>
      <c r="N47" s="163"/>
      <c r="O47" s="163"/>
      <c r="P47" s="163"/>
      <c r="Q47" s="163"/>
      <c r="R47" s="163"/>
      <c r="S47" s="163"/>
      <c r="T47" s="163"/>
      <c r="U47" s="163"/>
      <c r="V47" s="163"/>
      <c r="W47" s="163"/>
      <c r="X47" s="163"/>
      <c r="Y47" s="163"/>
      <c r="Z47" s="163"/>
      <c r="AA47" s="163"/>
      <c r="AB47" s="288" t="s">
        <v>113</v>
      </c>
      <c r="AC47" s="288"/>
      <c r="AD47" s="170"/>
      <c r="AE47" s="163"/>
      <c r="AF47" s="163"/>
      <c r="AG47" s="163"/>
      <c r="AH47" s="163"/>
      <c r="AI47" s="163"/>
      <c r="AJ47" s="163"/>
    </row>
    <row r="48" spans="2:69" ht="21" hidden="1">
      <c r="B48" s="163"/>
      <c r="C48" s="304" t="s">
        <v>222</v>
      </c>
      <c r="D48" s="305"/>
      <c r="E48" s="254"/>
      <c r="F48" s="163"/>
      <c r="G48" s="163"/>
      <c r="H48" s="163"/>
      <c r="I48" s="163"/>
      <c r="J48" s="163"/>
      <c r="K48" s="163"/>
      <c r="L48" s="163"/>
      <c r="M48" s="163"/>
      <c r="N48" s="163"/>
      <c r="O48" s="163"/>
      <c r="P48" s="163"/>
      <c r="Q48" s="163"/>
      <c r="R48" s="163"/>
      <c r="S48" s="289" t="s">
        <v>161</v>
      </c>
      <c r="T48" s="289"/>
      <c r="U48" s="289"/>
      <c r="V48" s="163"/>
      <c r="W48" s="163"/>
      <c r="X48" s="163"/>
      <c r="Y48" s="163"/>
      <c r="Z48" s="163"/>
      <c r="AA48" s="163"/>
      <c r="AB48" s="175"/>
      <c r="AC48" s="175" t="s">
        <v>188</v>
      </c>
      <c r="AD48" s="170"/>
      <c r="AE48" s="163"/>
      <c r="AF48" s="163"/>
      <c r="AG48" s="163"/>
      <c r="AH48" s="163"/>
      <c r="AI48" s="163"/>
      <c r="AJ48" s="163"/>
    </row>
    <row r="49" spans="2:36" ht="21.6" hidden="1" customHeight="1">
      <c r="B49" s="163"/>
      <c r="C49" s="290" t="s">
        <v>225</v>
      </c>
      <c r="D49" s="291"/>
      <c r="E49" s="137">
        <f>IFERROR(L55,"")</f>
        <v>9.444467842325218E-3</v>
      </c>
      <c r="F49" s="163"/>
      <c r="G49" s="163"/>
      <c r="H49" s="163"/>
      <c r="I49" s="163"/>
      <c r="J49" s="163"/>
      <c r="K49" s="163"/>
      <c r="L49" s="163"/>
      <c r="M49" s="163"/>
      <c r="N49" s="163"/>
      <c r="O49" s="163"/>
      <c r="P49" s="163"/>
      <c r="Q49" s="163"/>
      <c r="R49" s="163"/>
      <c r="S49" s="289" t="s">
        <v>114</v>
      </c>
      <c r="T49" s="289"/>
      <c r="U49" s="203">
        <v>2.48</v>
      </c>
      <c r="V49" s="163"/>
      <c r="W49" s="198"/>
      <c r="X49" s="198"/>
      <c r="Y49" s="198"/>
      <c r="Z49" s="163"/>
      <c r="AA49" s="163"/>
      <c r="AB49" s="175" t="s">
        <v>5</v>
      </c>
      <c r="AC49" s="175" t="e">
        <f>0.0000306269361758696*(Z42*Z42)- 0.00966436147205444*Z42+ 1.47675067863161</f>
        <v>#VALUE!</v>
      </c>
      <c r="AD49" s="170"/>
      <c r="AE49" s="163"/>
      <c r="AF49" s="163"/>
      <c r="AG49" s="163"/>
      <c r="AH49" s="163"/>
      <c r="AI49" s="163"/>
      <c r="AJ49" s="163"/>
    </row>
    <row r="50" spans="2:36" ht="21" hidden="1" customHeight="1">
      <c r="B50" s="163"/>
      <c r="C50" s="230" t="s">
        <v>226</v>
      </c>
      <c r="D50" s="231"/>
      <c r="E50" s="137">
        <f>IFERROR(L56,"")</f>
        <v>2.2288227386939347E-3</v>
      </c>
      <c r="F50" s="163"/>
      <c r="G50" s="163"/>
      <c r="H50" s="163"/>
      <c r="I50" s="163"/>
      <c r="J50" s="163"/>
      <c r="K50" s="163"/>
      <c r="L50" s="163"/>
      <c r="M50" s="163"/>
      <c r="N50" s="163"/>
      <c r="O50" s="163"/>
      <c r="P50" s="163"/>
      <c r="Q50" s="163"/>
      <c r="R50" s="163"/>
      <c r="S50" s="289" t="s">
        <v>114</v>
      </c>
      <c r="T50" s="289"/>
      <c r="U50" s="204">
        <v>1.7849999999999999</v>
      </c>
      <c r="V50" s="163"/>
      <c r="W50" s="198"/>
      <c r="X50" s="198"/>
      <c r="Y50" s="198"/>
      <c r="Z50" s="163"/>
      <c r="AA50" s="163"/>
      <c r="AB50" s="205"/>
      <c r="AC50" s="205"/>
      <c r="AD50" s="170"/>
      <c r="AE50" s="170"/>
      <c r="AF50" s="163"/>
      <c r="AG50" s="163"/>
      <c r="AH50" s="163"/>
      <c r="AI50" s="163"/>
      <c r="AJ50" s="163"/>
    </row>
    <row r="51" spans="2:36" ht="21.75" hidden="1" thickBot="1">
      <c r="B51" s="163"/>
      <c r="C51" s="293" t="s">
        <v>224</v>
      </c>
      <c r="D51" s="331"/>
      <c r="E51" s="138">
        <f>IFERROR(L57,"")</f>
        <v>-3.1597264278162823E-3</v>
      </c>
      <c r="F51" s="163"/>
      <c r="G51" s="163"/>
      <c r="H51" s="163"/>
      <c r="I51" s="163"/>
      <c r="J51" s="163"/>
      <c r="K51" s="163"/>
      <c r="L51" s="163"/>
      <c r="M51" s="163"/>
      <c r="N51" s="163"/>
      <c r="O51" s="163"/>
      <c r="P51" s="163"/>
      <c r="Q51" s="163"/>
      <c r="R51" s="163"/>
      <c r="S51" s="163"/>
      <c r="T51" s="163"/>
      <c r="U51" s="163"/>
      <c r="V51" s="163"/>
      <c r="W51" s="198"/>
      <c r="X51" s="198"/>
      <c r="Y51" s="198"/>
      <c r="Z51" s="163"/>
      <c r="AA51" s="163"/>
      <c r="AB51" s="170"/>
      <c r="AC51" s="170"/>
      <c r="AD51" s="170"/>
      <c r="AE51" s="170"/>
      <c r="AF51" s="163"/>
      <c r="AG51" s="163"/>
      <c r="AH51" s="163"/>
      <c r="AI51" s="163"/>
      <c r="AJ51" s="163"/>
    </row>
    <row r="52" spans="2:36" ht="18.75" hidden="1">
      <c r="B52" s="163"/>
      <c r="C52" s="163"/>
      <c r="D52" s="163"/>
      <c r="E52" s="163"/>
      <c r="F52" s="255"/>
      <c r="G52" s="170"/>
      <c r="H52" s="170"/>
      <c r="I52" s="170"/>
      <c r="J52" s="170"/>
      <c r="K52" s="163"/>
      <c r="L52" s="163"/>
      <c r="M52" s="163"/>
      <c r="N52" s="163"/>
      <c r="O52" s="163"/>
      <c r="P52" s="163"/>
      <c r="Q52" s="163"/>
      <c r="R52" s="163"/>
      <c r="S52" s="207"/>
      <c r="T52" s="163"/>
      <c r="U52" s="163"/>
      <c r="V52" s="163"/>
      <c r="W52" s="163"/>
      <c r="X52" s="163"/>
      <c r="Y52" s="163"/>
      <c r="Z52" s="163"/>
      <c r="AA52" s="163"/>
      <c r="AB52" s="163"/>
      <c r="AC52" s="163"/>
      <c r="AD52" s="163"/>
      <c r="AE52" s="163"/>
      <c r="AF52" s="163"/>
      <c r="AG52" s="163"/>
      <c r="AH52" s="163"/>
      <c r="AI52" s="163"/>
      <c r="AJ52" s="163"/>
    </row>
    <row r="53" spans="2:36" ht="21.75" hidden="1" thickBot="1">
      <c r="B53" s="287" t="s">
        <v>111</v>
      </c>
      <c r="C53" s="287"/>
      <c r="D53" s="287"/>
      <c r="E53" s="287"/>
      <c r="F53" s="287"/>
      <c r="G53" s="163"/>
      <c r="H53" s="287" t="s">
        <v>110</v>
      </c>
      <c r="I53" s="287"/>
      <c r="J53" s="287"/>
      <c r="K53" s="287"/>
      <c r="L53" s="287"/>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row>
    <row r="54" spans="2:36" ht="39.75" hidden="1" thickBot="1">
      <c r="B54" s="208"/>
      <c r="C54" s="208"/>
      <c r="D54" s="84" t="s">
        <v>191</v>
      </c>
      <c r="E54" s="85" t="s">
        <v>112</v>
      </c>
      <c r="F54" s="209"/>
      <c r="G54" s="163"/>
      <c r="H54" s="208"/>
      <c r="I54" s="208"/>
      <c r="J54" s="86" t="s">
        <v>191</v>
      </c>
      <c r="K54" s="87" t="s">
        <v>112</v>
      </c>
      <c r="L54" s="210"/>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row>
    <row r="55" spans="2:36" ht="19.5" hidden="1">
      <c r="B55" s="209" t="s">
        <v>162</v>
      </c>
      <c r="C55" s="208"/>
      <c r="D55" s="211">
        <v>1</v>
      </c>
      <c r="E55" s="212">
        <f>IF(E6="Live",'Current Performance - ME'!K5/'FW - Projected Performance - ME'!K6,'Current Performance - ME'!K5/'FW - Projected Performance - ME'!K17)</f>
        <v>0.99064348075145525</v>
      </c>
      <c r="F55" s="212">
        <f>(D55-E55)/E55</f>
        <v>9.4448905487646631E-3</v>
      </c>
      <c r="G55" s="163"/>
      <c r="H55" s="209" t="s">
        <v>162</v>
      </c>
      <c r="I55" s="208"/>
      <c r="J55" s="211">
        <v>1</v>
      </c>
      <c r="K55" s="212">
        <f>'Current Performance - ME'!K5/'FT - Projected Performance - ME'!K5</f>
        <v>0.99064389558495214</v>
      </c>
      <c r="L55" s="212">
        <f t="shared" ref="L55:L57" si="10">(J55-K55)/K55</f>
        <v>9.444467842325218E-3</v>
      </c>
      <c r="M55" s="163"/>
      <c r="N55" s="163"/>
      <c r="O55" s="163"/>
      <c r="P55" s="163"/>
      <c r="Q55" s="163"/>
      <c r="R55" s="163"/>
      <c r="S55" s="163"/>
      <c r="T55" s="163"/>
      <c r="U55" s="163"/>
      <c r="V55" s="163"/>
      <c r="W55" s="163"/>
      <c r="X55" s="163"/>
      <c r="Y55" s="163"/>
      <c r="Z55" s="163"/>
      <c r="AA55" s="163"/>
      <c r="AB55" s="163"/>
      <c r="AC55" s="163"/>
      <c r="AD55" s="163"/>
      <c r="AE55" s="163"/>
      <c r="AF55" s="163"/>
      <c r="AG55" s="163">
        <v>0</v>
      </c>
      <c r="AH55" s="163"/>
      <c r="AI55" s="163"/>
      <c r="AJ55" s="163"/>
    </row>
    <row r="56" spans="2:36" ht="19.5" hidden="1">
      <c r="B56" s="209" t="s">
        <v>163</v>
      </c>
      <c r="C56" s="208"/>
      <c r="D56" s="211">
        <v>1</v>
      </c>
      <c r="E56" s="212">
        <f>IF(E6="Live",'FW - Projected Performance - ME'!K7/'Current Performance - ME'!K6,'FW - Projected Performance - ME'!K18/'Current Performance - ME'!K6)</f>
        <v>0.99778641929531164</v>
      </c>
      <c r="F56" s="214">
        <f t="shared" ref="F56:F57" si="11">(D56-E56)/E56</f>
        <v>2.2184915146988083E-3</v>
      </c>
      <c r="G56" s="163"/>
      <c r="H56" s="209" t="s">
        <v>163</v>
      </c>
      <c r="I56" s="208"/>
      <c r="J56" s="211">
        <v>1</v>
      </c>
      <c r="K56" s="212">
        <f>'FT - Projected Performance - ME'!K6/'Current Performance - ME'!K6</f>
        <v>0.9977761338647162</v>
      </c>
      <c r="L56" s="214">
        <f t="shared" si="10"/>
        <v>2.2288227386939347E-3</v>
      </c>
      <c r="M56" s="163"/>
      <c r="N56" s="163"/>
      <c r="O56" s="163"/>
      <c r="P56" s="163"/>
      <c r="Q56" s="163"/>
      <c r="R56" s="163"/>
      <c r="S56" s="163"/>
      <c r="T56" s="163"/>
      <c r="U56" s="163"/>
      <c r="V56" s="163"/>
      <c r="W56" s="163"/>
      <c r="X56" s="163"/>
      <c r="Y56" s="163"/>
      <c r="Z56" s="163"/>
      <c r="AA56" s="163"/>
      <c r="AB56" s="163"/>
      <c r="AC56" s="163"/>
      <c r="AD56" s="163"/>
      <c r="AE56" s="163"/>
      <c r="AF56" s="163"/>
      <c r="AG56" s="163"/>
      <c r="AH56" s="163"/>
      <c r="AI56" s="163"/>
      <c r="AJ56" s="163"/>
    </row>
    <row r="57" spans="2:36" ht="19.5" hidden="1">
      <c r="B57" s="88" t="s">
        <v>224</v>
      </c>
      <c r="C57" s="88"/>
      <c r="D57" s="213">
        <f>'FW - Projected Performance - ME'!B43</f>
        <v>73.738447874172337</v>
      </c>
      <c r="E57" s="136">
        <f>'Current Performance - ME'!B36</f>
        <v>73.972202930178625</v>
      </c>
      <c r="F57" s="209">
        <f t="shared" si="11"/>
        <v>-3.160039132901399E-3</v>
      </c>
      <c r="G57" s="163"/>
      <c r="H57" s="88" t="s">
        <v>224</v>
      </c>
      <c r="I57" s="88"/>
      <c r="J57" s="89">
        <f>'FT - Projected Performance - ME'!B33</f>
        <v>73.738471005656351</v>
      </c>
      <c r="K57" s="89">
        <f>'Current Performance - ME'!B36</f>
        <v>73.972202930178625</v>
      </c>
      <c r="L57" s="209">
        <f t="shared" si="10"/>
        <v>-3.1597264278162823E-3</v>
      </c>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3"/>
    </row>
    <row r="58" spans="2:36" ht="19.5" hidden="1">
      <c r="B58" s="216" t="s">
        <v>20</v>
      </c>
      <c r="C58" s="217"/>
      <c r="D58" s="218"/>
      <c r="E58" s="209"/>
      <c r="F58" s="209"/>
      <c r="G58" s="163"/>
      <c r="H58" s="216" t="s">
        <v>20</v>
      </c>
      <c r="I58" s="217"/>
      <c r="J58" s="218"/>
      <c r="K58" s="209"/>
      <c r="L58" s="209"/>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row>
    <row r="59" spans="2:36" ht="19.5" hidden="1">
      <c r="B59" s="219" t="s">
        <v>21</v>
      </c>
      <c r="C59" s="217"/>
      <c r="D59" s="220">
        <f>IF(E6="Live",'FW - Projected Performance - ME'!K11,'FW - Projected Performance - ME'!K22)</f>
        <v>72.421980637504973</v>
      </c>
      <c r="E59" s="136">
        <f>'Current Performance - ME'!K10</f>
        <v>72.040178140418647</v>
      </c>
      <c r="F59" s="209"/>
      <c r="G59" s="163"/>
      <c r="H59" s="219" t="s">
        <v>21</v>
      </c>
      <c r="I59" s="217"/>
      <c r="J59" s="220">
        <f>'FT - Projected Performance - ME'!K10</f>
        <v>73.049782451252099</v>
      </c>
      <c r="K59" s="136">
        <f>'Current Performance - ME'!K10</f>
        <v>72.040178140418647</v>
      </c>
      <c r="L59" s="209"/>
      <c r="M59" s="163"/>
      <c r="N59" s="163"/>
      <c r="O59" s="163"/>
      <c r="P59" s="163"/>
      <c r="Q59" s="163"/>
      <c r="R59" s="163"/>
      <c r="S59" s="163"/>
      <c r="T59" s="163"/>
      <c r="U59" s="163"/>
      <c r="V59" s="163"/>
      <c r="W59" s="163"/>
      <c r="X59" s="163"/>
      <c r="Y59" s="163"/>
      <c r="Z59" s="163"/>
      <c r="AA59" s="163"/>
      <c r="AB59" s="163"/>
      <c r="AC59" s="163"/>
      <c r="AD59" s="163"/>
      <c r="AE59" s="163"/>
      <c r="AF59" s="163"/>
      <c r="AG59" s="163"/>
    </row>
    <row r="60" spans="2:36" ht="19.5" hidden="1">
      <c r="B60" s="209" t="s">
        <v>22</v>
      </c>
      <c r="C60" s="209"/>
      <c r="D60" s="220">
        <f>IF(E6="Live",'FW - Projected Performance - ME'!K12,'FW - Projected Performance - ME'!K23)</f>
        <v>85.520720180598573</v>
      </c>
      <c r="E60" s="136">
        <f>'Current Performance - ME'!K11</f>
        <v>85.26275379815479</v>
      </c>
      <c r="F60" s="209"/>
      <c r="G60" s="163"/>
      <c r="H60" s="221" t="s">
        <v>22</v>
      </c>
      <c r="I60" s="221"/>
      <c r="J60" s="222">
        <f>'FT - Projected Performance - ME'!K11</f>
        <v>86.272358108988243</v>
      </c>
      <c r="K60" s="222">
        <f>'Current Performance - ME'!K11</f>
        <v>85.26275379815479</v>
      </c>
      <c r="L60" s="221"/>
      <c r="M60" s="163"/>
      <c r="N60" s="163"/>
      <c r="O60" s="163"/>
      <c r="P60" s="163"/>
      <c r="Q60" s="163"/>
      <c r="R60" s="163"/>
      <c r="S60" s="163"/>
      <c r="T60" s="163"/>
      <c r="U60" s="163"/>
      <c r="V60" s="163"/>
      <c r="W60" s="163"/>
      <c r="X60" s="163"/>
      <c r="Y60" s="163"/>
      <c r="Z60" s="163"/>
      <c r="AA60" s="163"/>
      <c r="AB60" s="163"/>
      <c r="AC60" s="163"/>
      <c r="AD60" s="163"/>
      <c r="AE60" s="163"/>
      <c r="AF60" s="163"/>
      <c r="AG60" s="163"/>
    </row>
    <row r="61" spans="2:36" ht="21" hidden="1">
      <c r="B61" s="209" t="s">
        <v>23</v>
      </c>
      <c r="C61" s="209"/>
      <c r="D61" s="220">
        <f>IF(E6="Live",'FW - Projected Performance - ME'!K13,'FW - Projected Performance - ME'!K24)</f>
        <v>284.99758864197003</v>
      </c>
      <c r="E61" s="136">
        <f>IF($E$6="Live",'Current Performance - ME'!K12,'Current Performance - ME'!K15)</f>
        <v>284.99758864197003</v>
      </c>
      <c r="F61" s="90" t="s">
        <v>24</v>
      </c>
      <c r="G61" s="163"/>
      <c r="H61" s="221" t="s">
        <v>23</v>
      </c>
      <c r="I61" s="221"/>
      <c r="J61" s="222">
        <f>IF($E$6="Live",'FT - Projected Performance - ME'!K12,'FT - Projected Performance - ME'!K16)</f>
        <v>287.21916782957328</v>
      </c>
      <c r="K61" s="222">
        <f>IF($E$6="Live",'Current Performance - ME'!K12,'Current Performance - ME'!K15)</f>
        <v>284.99758864197003</v>
      </c>
      <c r="L61" s="90" t="s">
        <v>24</v>
      </c>
      <c r="M61" s="163"/>
      <c r="N61" s="163"/>
      <c r="O61" s="163"/>
      <c r="P61" s="163"/>
      <c r="Q61" s="163"/>
      <c r="R61" s="163"/>
      <c r="S61" s="163"/>
      <c r="T61" s="163"/>
      <c r="U61" s="163"/>
      <c r="V61" s="163"/>
      <c r="W61" s="163"/>
      <c r="X61" s="163"/>
      <c r="Y61" s="163"/>
      <c r="Z61" s="163"/>
      <c r="AA61" s="163"/>
      <c r="AB61" s="163"/>
      <c r="AC61" s="163"/>
      <c r="AD61" s="163"/>
      <c r="AE61" s="163"/>
      <c r="AF61" s="163"/>
      <c r="AG61" s="163"/>
    </row>
    <row r="62" spans="2:36" ht="21" hidden="1">
      <c r="B62" s="221" t="s">
        <v>25</v>
      </c>
      <c r="C62" s="221"/>
      <c r="D62" s="220">
        <f>IF(E6="Live",'FW - Projected Performance - ME'!K14,'FW - Projected Performance - ME'!K25)</f>
        <v>212.57560800446504</v>
      </c>
      <c r="E62" s="222">
        <f>IF($E$6="Live",'Current Performance - ME'!K13,'Current Performance - ME'!K16)</f>
        <v>212.95741050155138</v>
      </c>
      <c r="F62" s="91">
        <f>D62-E62</f>
        <v>-0.38180249708634051</v>
      </c>
      <c r="G62" s="163"/>
      <c r="H62" s="221" t="s">
        <v>25</v>
      </c>
      <c r="I62" s="221"/>
      <c r="J62" s="222">
        <f>IF($E$6="Live",'FT - Projected Performance - ME'!K13,'FT - Projected Performance - ME'!K17)</f>
        <v>214.16938537832118</v>
      </c>
      <c r="K62" s="222">
        <f>IF($E$6="Live",'Current Performance - ME'!K13,'Current Performance - ME'!K16)</f>
        <v>212.95741050155138</v>
      </c>
      <c r="L62" s="91">
        <f>J62-K62</f>
        <v>1.2119748767698013</v>
      </c>
      <c r="M62" s="163"/>
      <c r="N62" s="163"/>
      <c r="O62" s="163"/>
      <c r="P62" s="163"/>
      <c r="Q62" s="163"/>
      <c r="R62" s="163"/>
      <c r="S62" s="163"/>
      <c r="T62" s="163"/>
      <c r="U62" s="163"/>
      <c r="V62" s="163"/>
      <c r="W62" s="163"/>
      <c r="X62" s="163"/>
      <c r="Y62" s="163"/>
      <c r="Z62" s="163"/>
      <c r="AA62" s="163"/>
      <c r="AB62" s="163"/>
      <c r="AC62" s="163"/>
      <c r="AD62" s="163"/>
      <c r="AE62" s="163"/>
      <c r="AF62" s="163"/>
      <c r="AG62" s="163"/>
    </row>
    <row r="63" spans="2:36" ht="21.75" hidden="1" thickBot="1">
      <c r="B63" s="223" t="s">
        <v>26</v>
      </c>
      <c r="C63" s="223"/>
      <c r="D63" s="256">
        <f>IF(E6="Live",'FW - Projected Performance - ME'!K15,'FW - Projected Performance - ME'!K26)</f>
        <v>199.47686846137145</v>
      </c>
      <c r="E63" s="224">
        <f>IF($E$6="Live",'Current Performance - ME'!K14,'Current Performance - ME'!K17)</f>
        <v>199.73483484381524</v>
      </c>
      <c r="F63" s="92">
        <f>D63-E63</f>
        <v>-0.257966382443783</v>
      </c>
      <c r="G63" s="163"/>
      <c r="H63" s="223" t="s">
        <v>26</v>
      </c>
      <c r="I63" s="223"/>
      <c r="J63" s="224">
        <f>IF($E$6="Live",'FT - Projected Performance - ME'!K14,'FT - Projected Performance - ME'!K18)</f>
        <v>200.94680972058504</v>
      </c>
      <c r="K63" s="224">
        <f>IF($E$6="Live",'Current Performance - ME'!K14,'Current Performance - ME'!K17)</f>
        <v>199.73483484381524</v>
      </c>
      <c r="L63" s="92">
        <f>J63-K63</f>
        <v>1.2119748767698013</v>
      </c>
      <c r="M63" s="197"/>
      <c r="N63" s="163"/>
      <c r="O63" s="163"/>
      <c r="P63" s="163"/>
      <c r="Q63" s="163"/>
      <c r="R63" s="163"/>
      <c r="S63" s="163"/>
      <c r="T63" s="163"/>
      <c r="U63" s="163"/>
      <c r="V63" s="163"/>
      <c r="W63" s="163"/>
      <c r="X63" s="163"/>
      <c r="Y63" s="163"/>
      <c r="Z63" s="163"/>
      <c r="AA63" s="163"/>
      <c r="AB63" s="163"/>
      <c r="AC63" s="163"/>
      <c r="AD63" s="163"/>
      <c r="AE63" s="163"/>
      <c r="AF63" s="163"/>
      <c r="AG63" s="163"/>
    </row>
    <row r="64" spans="2:36" hidden="1">
      <c r="B64" s="197"/>
      <c r="C64" s="197"/>
      <c r="D64" s="197"/>
      <c r="E64" s="197"/>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row>
    <row r="65" spans="2:69" hidden="1">
      <c r="B65" s="197"/>
      <c r="C65" s="197"/>
      <c r="D65" s="197"/>
      <c r="E65" s="197"/>
      <c r="F65" s="197"/>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row>
    <row r="66" spans="2:69" hidden="1">
      <c r="B66" s="225" t="str">
        <f>IF(C66=0,"not impact",IF(E45&lt;0,"reduce","increase"))</f>
        <v>increase</v>
      </c>
      <c r="C66" s="226">
        <f>ROUND(IF(E45&lt;0,(-E45*100),(E45*100)),2)</f>
        <v>0.94</v>
      </c>
      <c r="D66" s="162" t="s">
        <v>239</v>
      </c>
      <c r="E66" s="197"/>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63"/>
      <c r="AI66" s="163"/>
      <c r="AJ66" s="163"/>
      <c r="BJ66" s="163"/>
      <c r="BK66" s="163"/>
      <c r="BL66" s="163"/>
      <c r="BM66" s="163"/>
      <c r="BN66" s="163"/>
      <c r="BO66" s="163"/>
      <c r="BP66" s="163"/>
      <c r="BQ66" s="163"/>
    </row>
    <row r="67" spans="2:69" hidden="1">
      <c r="B67" s="225" t="str">
        <f>IF(C67=0,"not impact",IF(E46&lt;0,"worsen","improve"))</f>
        <v>improve</v>
      </c>
      <c r="C67" s="226">
        <f>ROUND(IF(E46&lt;0,(-E46*100),(E46*100)),2)</f>
        <v>0.22</v>
      </c>
      <c r="D67" s="162" t="s">
        <v>239</v>
      </c>
      <c r="E67" s="197"/>
      <c r="F67" s="197"/>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63"/>
      <c r="AI67" s="163"/>
      <c r="AJ67" s="163"/>
      <c r="BJ67" s="163"/>
      <c r="BK67" s="163"/>
      <c r="BL67" s="163"/>
      <c r="BM67" s="163"/>
      <c r="BN67" s="163"/>
      <c r="BO67" s="163"/>
      <c r="BP67" s="163"/>
      <c r="BQ67" s="163"/>
    </row>
    <row r="68" spans="2:69" hidden="1">
      <c r="B68" s="225" t="str">
        <f>IF(C68=0,"not impact",IF(E47&lt;0,"worsen","improve"))</f>
        <v>worsen</v>
      </c>
      <c r="C68" s="226">
        <f>ROUND(IF(E47&lt;0,(-E47*100),(E47*100)),2)</f>
        <v>0.32</v>
      </c>
      <c r="D68" s="162" t="s">
        <v>239</v>
      </c>
      <c r="E68" s="197"/>
      <c r="F68" s="197"/>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7"/>
      <c r="AG68" s="197"/>
      <c r="AH68" s="163"/>
      <c r="AI68" s="163"/>
      <c r="AJ68" s="163"/>
      <c r="BJ68" s="163"/>
      <c r="BK68" s="163"/>
      <c r="BL68" s="163"/>
      <c r="BM68" s="163"/>
      <c r="BN68" s="163"/>
      <c r="BO68" s="163"/>
      <c r="BP68" s="163"/>
      <c r="BQ68" s="163"/>
    </row>
    <row r="69" spans="2:69" hidden="1">
      <c r="B69" s="197"/>
      <c r="C69" s="197"/>
      <c r="D69" s="197"/>
      <c r="E69" s="197"/>
      <c r="F69" s="197"/>
      <c r="G69" s="197"/>
      <c r="H69" s="197"/>
      <c r="I69" s="197"/>
      <c r="J69" s="197"/>
      <c r="K69" s="197"/>
      <c r="L69" s="197"/>
      <c r="M69" s="197"/>
      <c r="N69" s="197"/>
      <c r="O69" s="197"/>
      <c r="P69" s="197"/>
      <c r="Q69" s="197"/>
      <c r="R69" s="197"/>
      <c r="S69" s="197"/>
      <c r="T69" s="197"/>
      <c r="U69" s="197"/>
      <c r="V69" s="197"/>
      <c r="W69" s="197"/>
      <c r="X69" s="197"/>
      <c r="Y69" s="197"/>
      <c r="Z69" s="197"/>
      <c r="AA69" s="197"/>
      <c r="AB69" s="197"/>
      <c r="AC69" s="197"/>
      <c r="AD69" s="197"/>
      <c r="AE69" s="197"/>
      <c r="AF69" s="197"/>
      <c r="AG69" s="197"/>
      <c r="AH69" s="163"/>
      <c r="AI69" s="163"/>
      <c r="AJ69" s="163"/>
      <c r="BJ69" s="163"/>
      <c r="BK69" s="163"/>
      <c r="BL69" s="163"/>
      <c r="BM69" s="163"/>
      <c r="BN69" s="163"/>
      <c r="BO69" s="163"/>
      <c r="BP69" s="163"/>
      <c r="BQ69" s="163"/>
    </row>
    <row r="70" spans="2:69" hidden="1">
      <c r="B70" s="225" t="str">
        <f>IF(C70=0,"not impact",IF(E49&lt;0,"reduce","increase"))</f>
        <v>increase</v>
      </c>
      <c r="C70" s="226">
        <f>ROUND(IF(E49&lt;0,(-E49*100),(E49*100)),2)</f>
        <v>0.94</v>
      </c>
      <c r="D70" s="162" t="s">
        <v>239</v>
      </c>
      <c r="E70" s="197"/>
      <c r="F70" s="197"/>
      <c r="G70" s="197"/>
      <c r="H70" s="197"/>
      <c r="I70" s="197"/>
      <c r="J70" s="197"/>
      <c r="K70" s="197"/>
      <c r="L70" s="197"/>
      <c r="M70" s="197"/>
      <c r="N70" s="197"/>
      <c r="O70" s="197"/>
      <c r="P70" s="197"/>
      <c r="Q70" s="197"/>
      <c r="R70" s="197"/>
      <c r="S70" s="197"/>
      <c r="T70" s="197"/>
      <c r="U70" s="197"/>
      <c r="V70" s="197"/>
      <c r="W70" s="197"/>
      <c r="X70" s="197"/>
      <c r="Y70" s="197"/>
      <c r="Z70" s="197"/>
      <c r="AA70" s="197"/>
      <c r="AB70" s="197"/>
      <c r="AC70" s="197"/>
      <c r="AD70" s="197"/>
      <c r="AE70" s="197"/>
      <c r="AF70" s="197"/>
      <c r="AG70" s="197"/>
      <c r="AH70" s="163"/>
      <c r="AI70" s="163"/>
      <c r="AJ70" s="163"/>
      <c r="BJ70" s="163"/>
      <c r="BK70" s="163"/>
      <c r="BL70" s="163"/>
      <c r="BM70" s="163"/>
      <c r="BN70" s="163"/>
      <c r="BO70" s="163"/>
      <c r="BP70" s="163"/>
      <c r="BQ70" s="163"/>
    </row>
    <row r="71" spans="2:69" hidden="1">
      <c r="B71" s="225" t="str">
        <f>IF(C71=0,"not impact",IF(E50&lt;0,"worsen","improve"))</f>
        <v>improve</v>
      </c>
      <c r="C71" s="226">
        <f>ROUND(IF(E50&lt;0,(-E50*100),(E50*100)),2)</f>
        <v>0.22</v>
      </c>
      <c r="D71" s="162" t="s">
        <v>239</v>
      </c>
      <c r="E71" s="197"/>
      <c r="F71" s="197"/>
      <c r="G71" s="197"/>
      <c r="H71" s="197"/>
      <c r="I71" s="197"/>
      <c r="J71" s="197"/>
      <c r="K71" s="197"/>
      <c r="L71" s="197"/>
      <c r="M71" s="197"/>
      <c r="N71" s="197"/>
      <c r="O71" s="197"/>
      <c r="P71" s="197"/>
      <c r="Q71" s="197"/>
      <c r="R71" s="197"/>
      <c r="S71" s="197"/>
      <c r="T71" s="197"/>
      <c r="U71" s="197"/>
      <c r="V71" s="197"/>
      <c r="W71" s="197"/>
      <c r="X71" s="197"/>
      <c r="Y71" s="197"/>
      <c r="Z71" s="197"/>
      <c r="AA71" s="197"/>
      <c r="AB71" s="197"/>
      <c r="AC71" s="197"/>
      <c r="AD71" s="197"/>
      <c r="AE71" s="197"/>
      <c r="AF71" s="197"/>
      <c r="AG71" s="197"/>
      <c r="AH71" s="163"/>
      <c r="AI71" s="163"/>
      <c r="AJ71" s="163"/>
      <c r="BJ71" s="163"/>
      <c r="BK71" s="163"/>
      <c r="BL71" s="163"/>
      <c r="BM71" s="163"/>
      <c r="BN71" s="163"/>
      <c r="BO71" s="163"/>
      <c r="BP71" s="163"/>
      <c r="BQ71" s="163"/>
    </row>
    <row r="72" spans="2:69" hidden="1">
      <c r="B72" s="225" t="str">
        <f>IF(C72=0,"not impact",IF(E51&lt;0,"worsen","improve"))</f>
        <v>worsen</v>
      </c>
      <c r="C72" s="226">
        <f>ROUND(IF(E51&lt;0,(-E51*100),(E51*100)),2)</f>
        <v>0.32</v>
      </c>
      <c r="D72" s="162" t="s">
        <v>239</v>
      </c>
      <c r="E72" s="197"/>
      <c r="F72" s="197"/>
      <c r="G72" s="197"/>
      <c r="H72" s="197"/>
      <c r="I72" s="197"/>
      <c r="J72" s="197"/>
      <c r="K72" s="197"/>
      <c r="L72" s="197"/>
      <c r="M72" s="197"/>
      <c r="N72" s="197"/>
      <c r="O72" s="197"/>
      <c r="P72" s="197"/>
      <c r="Q72" s="197"/>
      <c r="R72" s="197"/>
      <c r="S72" s="197"/>
      <c r="T72" s="197"/>
      <c r="U72" s="197"/>
      <c r="V72" s="197"/>
      <c r="W72" s="197"/>
      <c r="X72" s="197"/>
      <c r="Y72" s="197"/>
      <c r="Z72" s="197"/>
      <c r="AA72" s="197"/>
      <c r="AB72" s="197"/>
      <c r="AC72" s="197"/>
      <c r="AD72" s="197"/>
      <c r="AE72" s="197"/>
      <c r="AF72" s="197"/>
      <c r="AG72" s="197"/>
      <c r="AH72" s="163"/>
      <c r="AI72" s="163"/>
      <c r="AJ72" s="163"/>
      <c r="BJ72" s="163"/>
      <c r="BK72" s="163"/>
      <c r="BL72" s="163"/>
      <c r="BM72" s="163"/>
      <c r="BN72" s="163"/>
      <c r="BO72" s="163"/>
      <c r="BP72" s="163"/>
      <c r="BQ72" s="163"/>
    </row>
    <row r="73" spans="2:69" hidden="1">
      <c r="B73" s="225" t="str">
        <f>IF(I45&lt;0,"; however, resulting in losses of $",", resulting in gains of $")</f>
        <v>; however, resulting in losses of $</v>
      </c>
      <c r="C73" s="226">
        <f>ROUND(IF(I45&lt;0,(-I45),(I45)),2)</f>
        <v>0.26</v>
      </c>
      <c r="D73" s="162" t="s">
        <v>240</v>
      </c>
      <c r="E73" s="227">
        <f>ROUND(I45,2)</f>
        <v>-0.26</v>
      </c>
      <c r="F73" s="197"/>
      <c r="G73" s="197"/>
      <c r="H73" s="197"/>
      <c r="I73" s="197"/>
      <c r="J73" s="197"/>
      <c r="K73" s="197"/>
      <c r="L73" s="197"/>
      <c r="M73" s="197"/>
      <c r="N73" s="197"/>
      <c r="O73" s="197"/>
      <c r="P73" s="197"/>
      <c r="Q73" s="197"/>
      <c r="R73" s="197"/>
      <c r="S73" s="197"/>
      <c r="T73" s="197"/>
      <c r="U73" s="197"/>
      <c r="V73" s="197"/>
      <c r="W73" s="197"/>
      <c r="X73" s="197"/>
      <c r="Y73" s="197"/>
      <c r="Z73" s="197"/>
      <c r="AA73" s="197"/>
      <c r="AB73" s="197"/>
      <c r="AC73" s="197"/>
      <c r="AD73" s="197"/>
      <c r="AE73" s="197"/>
      <c r="AF73" s="197"/>
      <c r="AG73" s="197"/>
      <c r="AH73" s="163"/>
      <c r="AI73" s="163"/>
      <c r="AJ73" s="163"/>
      <c r="BJ73" s="163"/>
      <c r="BK73" s="163"/>
      <c r="BL73" s="163"/>
      <c r="BM73" s="163"/>
      <c r="BN73" s="163"/>
      <c r="BO73" s="163"/>
      <c r="BP73" s="163"/>
      <c r="BQ73" s="163"/>
    </row>
    <row r="74" spans="2:69" hidden="1">
      <c r="B74" s="225" t="str">
        <f>IF(I47&lt;0,"; however, resulting in losses of $",", resulting in gains of $")</f>
        <v>, resulting in gains of $</v>
      </c>
      <c r="C74" s="226">
        <f>ROUND(IF(I47&lt;0,(-I47),(I47)),2)</f>
        <v>1.21</v>
      </c>
      <c r="D74" s="162" t="s">
        <v>240</v>
      </c>
      <c r="E74" s="227">
        <f>ROUND(I47,2)</f>
        <v>1.21</v>
      </c>
      <c r="F74" s="197"/>
      <c r="G74" s="197"/>
      <c r="H74" s="197"/>
      <c r="I74" s="197"/>
      <c r="J74" s="197"/>
      <c r="K74" s="197"/>
      <c r="L74" s="197"/>
      <c r="M74" s="197"/>
      <c r="N74" s="197"/>
      <c r="O74" s="197"/>
      <c r="P74" s="197"/>
      <c r="Q74" s="197"/>
      <c r="R74" s="197"/>
      <c r="S74" s="197"/>
      <c r="T74" s="197"/>
      <c r="U74" s="197"/>
      <c r="V74" s="197"/>
      <c r="W74" s="197"/>
      <c r="X74" s="197"/>
      <c r="Y74" s="197"/>
      <c r="Z74" s="197"/>
      <c r="AA74" s="197"/>
      <c r="AB74" s="197"/>
      <c r="AC74" s="197"/>
      <c r="AD74" s="197"/>
      <c r="AE74" s="197"/>
      <c r="AF74" s="197"/>
      <c r="AG74" s="197"/>
      <c r="AH74" s="163"/>
      <c r="AI74" s="163"/>
      <c r="AJ74" s="163"/>
      <c r="BJ74" s="163"/>
      <c r="BK74" s="163"/>
      <c r="BL74" s="163"/>
      <c r="BM74" s="163"/>
      <c r="BN74" s="163"/>
      <c r="BO74" s="163"/>
      <c r="BP74" s="163"/>
      <c r="BQ74" s="163"/>
    </row>
    <row r="75" spans="2:69" hidden="1">
      <c r="B75" s="225" t="str">
        <f>IF(E73&lt;0,"In this scenario, it isn't economical to feed PIC STTD phosphorus biological levels.",IF(E73&gt;0,"In this scenario, it is economical to feed PIC STTD phosphorus biological levels.","In this scenario, feed the current STTD phosphorus levels or the biological STTD phosphorus levels do not differ in economics."))</f>
        <v>In this scenario, it isn't economical to feed PIC STTD phosphorus biological levels.</v>
      </c>
      <c r="C75" s="162"/>
      <c r="D75" s="162"/>
      <c r="E75" s="162"/>
      <c r="F75" s="197"/>
      <c r="G75" s="197"/>
      <c r="H75" s="197"/>
      <c r="I75" s="197"/>
      <c r="J75" s="197"/>
      <c r="K75" s="197"/>
      <c r="L75" s="197"/>
      <c r="M75" s="197"/>
      <c r="N75" s="197"/>
      <c r="O75" s="197"/>
      <c r="P75" s="197"/>
      <c r="Q75" s="197"/>
      <c r="R75" s="197"/>
      <c r="S75" s="197"/>
      <c r="T75" s="197"/>
      <c r="U75" s="197"/>
      <c r="V75" s="197"/>
      <c r="W75" s="197"/>
      <c r="X75" s="197"/>
      <c r="Y75" s="197"/>
      <c r="Z75" s="197"/>
      <c r="AA75" s="197"/>
      <c r="AB75" s="197"/>
      <c r="AC75" s="197"/>
      <c r="AD75" s="197"/>
      <c r="AE75" s="197"/>
      <c r="AF75" s="197"/>
      <c r="AG75" s="197"/>
      <c r="AH75" s="163"/>
      <c r="AI75" s="163"/>
      <c r="AJ75" s="163"/>
      <c r="BJ75" s="163"/>
      <c r="BK75" s="163"/>
      <c r="BL75" s="163"/>
      <c r="BM75" s="163"/>
      <c r="BN75" s="163"/>
      <c r="BO75" s="163"/>
      <c r="BP75" s="163"/>
      <c r="BQ75" s="163"/>
    </row>
    <row r="76" spans="2:69" hidden="1">
      <c r="B76" s="225" t="str">
        <f>IF(E74&lt;0,"In this scenario, it isn't economical to feed PIC STTD phosphorus biological levels.",IF(E74&gt;0,"In this scenario, it is economical to feed PIC STTD phosphorus biological levels.","In this scenario, feed the current STTD phosphorus levels or the biological STTD phosphorus do not differ in economics."))</f>
        <v>In this scenario, it is economical to feed PIC STTD phosphorus biological levels.</v>
      </c>
      <c r="C76" s="162"/>
      <c r="D76" s="162"/>
      <c r="E76" s="162"/>
      <c r="F76" s="197"/>
      <c r="G76" s="197"/>
      <c r="H76" s="197"/>
      <c r="I76" s="197"/>
      <c r="J76" s="197"/>
      <c r="K76" s="197"/>
      <c r="L76" s="197"/>
      <c r="M76" s="197"/>
      <c r="N76" s="197"/>
      <c r="O76" s="197"/>
      <c r="P76" s="197"/>
      <c r="Q76" s="197"/>
      <c r="R76" s="197"/>
      <c r="S76" s="197"/>
      <c r="T76" s="197"/>
      <c r="U76" s="197"/>
      <c r="V76" s="197"/>
      <c r="W76" s="197"/>
      <c r="X76" s="197"/>
      <c r="Y76" s="197"/>
      <c r="Z76" s="197"/>
      <c r="AA76" s="197"/>
      <c r="AB76" s="197"/>
      <c r="AC76" s="197"/>
      <c r="AD76" s="197"/>
      <c r="AE76" s="197"/>
      <c r="AF76" s="197"/>
      <c r="AG76" s="197"/>
      <c r="AH76" s="163"/>
      <c r="AI76" s="163"/>
      <c r="AJ76" s="163"/>
      <c r="BJ76" s="163"/>
      <c r="BK76" s="163"/>
      <c r="BL76" s="163"/>
      <c r="BM76" s="163"/>
      <c r="BN76" s="163"/>
      <c r="BO76" s="163"/>
      <c r="BP76" s="163"/>
      <c r="BQ76" s="163"/>
    </row>
    <row r="77" spans="2:69" ht="16.5" hidden="1" thickBot="1">
      <c r="B77" s="197"/>
      <c r="C77" s="197"/>
      <c r="D77" s="197"/>
      <c r="E77" s="197"/>
      <c r="F77" s="197"/>
      <c r="G77" s="197"/>
      <c r="H77" s="197"/>
      <c r="I77" s="197"/>
      <c r="J77" s="197"/>
      <c r="K77" s="197"/>
      <c r="L77" s="197"/>
      <c r="M77" s="197"/>
      <c r="N77" s="197"/>
      <c r="O77" s="197"/>
      <c r="P77" s="197"/>
      <c r="Q77" s="197"/>
      <c r="R77" s="197"/>
      <c r="S77" s="197"/>
      <c r="T77" s="197"/>
      <c r="U77" s="197"/>
      <c r="V77" s="197"/>
      <c r="W77" s="197"/>
      <c r="X77" s="197"/>
      <c r="Y77" s="197"/>
      <c r="Z77" s="197"/>
      <c r="AA77" s="197"/>
      <c r="AB77" s="197"/>
      <c r="AC77" s="197"/>
      <c r="AD77" s="197"/>
      <c r="AE77" s="197"/>
      <c r="AF77" s="197"/>
      <c r="AG77" s="197"/>
      <c r="AH77" s="163"/>
      <c r="AI77" s="163"/>
      <c r="AJ77" s="163"/>
      <c r="BJ77" s="163"/>
      <c r="BK77" s="163"/>
      <c r="BL77" s="163"/>
      <c r="BM77" s="163"/>
      <c r="BN77" s="163"/>
      <c r="BO77" s="163"/>
      <c r="BP77" s="163"/>
      <c r="BQ77" s="163"/>
    </row>
    <row r="78" spans="2:69" hidden="1">
      <c r="B78" s="144">
        <f t="shared" ref="B78:C83" si="12">C15</f>
        <v>50</v>
      </c>
      <c r="C78" s="145">
        <f t="shared" si="12"/>
        <v>90</v>
      </c>
      <c r="D78" s="146">
        <f>IF(C78=0,0,1)</f>
        <v>1</v>
      </c>
      <c r="E78" s="197"/>
      <c r="F78" s="197"/>
      <c r="G78" s="197"/>
      <c r="H78" s="197"/>
      <c r="I78" s="197"/>
      <c r="J78" s="197"/>
      <c r="K78" s="197"/>
      <c r="L78" s="197"/>
      <c r="M78" s="197"/>
      <c r="N78" s="197"/>
      <c r="O78" s="197"/>
      <c r="P78" s="197"/>
      <c r="Q78" s="197"/>
      <c r="R78" s="197"/>
      <c r="S78" s="197"/>
      <c r="T78" s="197"/>
      <c r="U78" s="197"/>
      <c r="V78" s="197"/>
      <c r="W78" s="197"/>
      <c r="X78" s="197"/>
      <c r="Y78" s="197"/>
      <c r="Z78" s="197"/>
      <c r="AA78" s="197"/>
      <c r="AB78" s="197"/>
      <c r="AC78" s="197"/>
      <c r="AD78" s="197"/>
      <c r="AE78" s="197"/>
      <c r="AF78" s="197"/>
      <c r="AG78" s="197"/>
      <c r="AH78" s="163"/>
      <c r="AI78" s="163"/>
      <c r="AJ78" s="163"/>
      <c r="BJ78" s="163"/>
      <c r="BK78" s="163"/>
      <c r="BL78" s="163"/>
      <c r="BM78" s="163"/>
      <c r="BN78" s="163"/>
      <c r="BO78" s="163"/>
      <c r="BP78" s="163"/>
      <c r="BQ78" s="163"/>
    </row>
    <row r="79" spans="2:69" s="163" customFormat="1" hidden="1">
      <c r="B79" s="147">
        <f t="shared" si="12"/>
        <v>90</v>
      </c>
      <c r="C79" s="148">
        <f t="shared" si="12"/>
        <v>130</v>
      </c>
      <c r="D79" s="149">
        <f t="shared" ref="D79:D83" si="13">IF(C79=0,0,1)</f>
        <v>1</v>
      </c>
      <c r="E79" s="197"/>
      <c r="F79" s="197"/>
      <c r="G79" s="197"/>
      <c r="H79" s="197"/>
      <c r="I79" s="197"/>
      <c r="J79" s="197"/>
      <c r="K79" s="197"/>
      <c r="L79" s="197"/>
      <c r="M79" s="197"/>
      <c r="N79" s="197"/>
      <c r="O79" s="197"/>
      <c r="P79" s="197"/>
      <c r="Q79" s="197"/>
      <c r="R79" s="197"/>
      <c r="S79" s="197"/>
      <c r="T79" s="197"/>
      <c r="U79" s="197"/>
      <c r="V79" s="197"/>
      <c r="W79" s="197"/>
      <c r="X79" s="197"/>
      <c r="Y79" s="197"/>
      <c r="Z79" s="197"/>
      <c r="AA79" s="197"/>
      <c r="AB79" s="197"/>
      <c r="AC79" s="197"/>
      <c r="AD79" s="197"/>
      <c r="AE79" s="197"/>
      <c r="AF79" s="197"/>
      <c r="AG79" s="197"/>
    </row>
    <row r="80" spans="2:69" s="163" customFormat="1" hidden="1">
      <c r="B80" s="147">
        <f t="shared" si="12"/>
        <v>130</v>
      </c>
      <c r="C80" s="148">
        <f t="shared" si="12"/>
        <v>180</v>
      </c>
      <c r="D80" s="149">
        <f t="shared" si="13"/>
        <v>1</v>
      </c>
      <c r="H80" s="197"/>
      <c r="N80" s="197"/>
      <c r="O80" s="197"/>
      <c r="P80" s="197"/>
      <c r="Q80" s="197"/>
      <c r="R80" s="197"/>
      <c r="S80" s="197"/>
      <c r="T80" s="197"/>
      <c r="U80" s="197"/>
      <c r="V80" s="197"/>
      <c r="W80" s="197"/>
      <c r="X80" s="197"/>
      <c r="Y80" s="197"/>
      <c r="Z80" s="197"/>
      <c r="AA80" s="197"/>
      <c r="AB80" s="197"/>
      <c r="AC80" s="197"/>
      <c r="AD80" s="197"/>
      <c r="AE80" s="197"/>
      <c r="AF80" s="197"/>
      <c r="AG80" s="197"/>
    </row>
    <row r="81" spans="2:36" s="163" customFormat="1" hidden="1">
      <c r="B81" s="147">
        <f t="shared" si="12"/>
        <v>180</v>
      </c>
      <c r="C81" s="148">
        <f t="shared" si="12"/>
        <v>230</v>
      </c>
      <c r="D81" s="149">
        <f t="shared" si="13"/>
        <v>1</v>
      </c>
    </row>
    <row r="82" spans="2:36" s="163" customFormat="1" hidden="1">
      <c r="B82" s="147">
        <f t="shared" si="12"/>
        <v>230</v>
      </c>
      <c r="C82" s="148">
        <f t="shared" si="12"/>
        <v>285</v>
      </c>
      <c r="D82" s="149">
        <f t="shared" si="13"/>
        <v>1</v>
      </c>
    </row>
    <row r="83" spans="2:36" s="163" customFormat="1" hidden="1">
      <c r="B83" s="147" t="str">
        <f t="shared" si="12"/>
        <v/>
      </c>
      <c r="C83" s="148">
        <f t="shared" si="12"/>
        <v>0</v>
      </c>
      <c r="D83" s="149">
        <f t="shared" si="13"/>
        <v>0</v>
      </c>
    </row>
    <row r="84" spans="2:36" hidden="1">
      <c r="B84" s="163"/>
      <c r="C84" s="163"/>
      <c r="D84" s="163"/>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163"/>
      <c r="AF84" s="163"/>
      <c r="AG84" s="163"/>
      <c r="AH84" s="163"/>
      <c r="AI84" s="163"/>
      <c r="AJ84" s="163"/>
    </row>
    <row r="85" spans="2:36">
      <c r="B85" s="163"/>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163"/>
      <c r="AF85" s="163"/>
      <c r="AG85" s="163"/>
      <c r="AH85" s="163"/>
      <c r="AI85" s="163"/>
      <c r="AJ85" s="163"/>
    </row>
    <row r="86" spans="2:36">
      <c r="B86" s="163"/>
      <c r="C86" s="163"/>
      <c r="D86" s="163"/>
      <c r="E86" s="163"/>
      <c r="F86" s="163"/>
      <c r="G86" s="163"/>
      <c r="H86" s="163"/>
      <c r="I86" s="163"/>
      <c r="J86" s="163"/>
      <c r="K86" s="163"/>
      <c r="L86" s="163"/>
      <c r="M86" s="163"/>
      <c r="N86" s="163"/>
      <c r="O86" s="163"/>
      <c r="P86" s="163"/>
      <c r="Q86" s="163"/>
      <c r="R86" s="163"/>
      <c r="S86" s="163"/>
      <c r="T86" s="163"/>
      <c r="U86" s="163"/>
      <c r="V86" s="163"/>
      <c r="W86" s="163"/>
      <c r="X86" s="163"/>
      <c r="Y86" s="163"/>
      <c r="Z86" s="163"/>
      <c r="AA86" s="163"/>
      <c r="AB86" s="163"/>
      <c r="AC86" s="163"/>
      <c r="AD86" s="163"/>
      <c r="AE86" s="163"/>
      <c r="AF86" s="163"/>
      <c r="AG86" s="163"/>
      <c r="AH86" s="163"/>
      <c r="AI86" s="163"/>
      <c r="AJ86" s="163"/>
    </row>
    <row r="87" spans="2:36">
      <c r="B87" s="163"/>
      <c r="C87" s="163"/>
      <c r="D87" s="163"/>
      <c r="E87" s="163"/>
      <c r="F87" s="163"/>
      <c r="G87" s="163"/>
      <c r="H87" s="163"/>
      <c r="I87" s="163"/>
      <c r="J87" s="163"/>
      <c r="K87" s="163"/>
      <c r="L87" s="163"/>
      <c r="M87" s="163"/>
      <c r="N87" s="163"/>
      <c r="O87" s="163"/>
      <c r="P87" s="163"/>
      <c r="Q87" s="163"/>
      <c r="R87" s="163"/>
      <c r="S87" s="163"/>
      <c r="T87" s="163"/>
      <c r="U87" s="163"/>
      <c r="V87" s="163"/>
      <c r="W87" s="163"/>
      <c r="X87" s="163"/>
      <c r="Y87" s="163"/>
      <c r="Z87" s="163"/>
      <c r="AA87" s="163"/>
      <c r="AB87" s="163"/>
      <c r="AC87" s="163"/>
      <c r="AD87" s="163"/>
      <c r="AE87" s="163"/>
      <c r="AF87" s="163"/>
      <c r="AG87" s="163"/>
      <c r="AH87" s="163"/>
      <c r="AI87" s="163"/>
      <c r="AJ87" s="163"/>
    </row>
    <row r="88" spans="2:36">
      <c r="B88" s="163"/>
      <c r="C88" s="163"/>
      <c r="D88" s="163"/>
      <c r="E88" s="163"/>
      <c r="F88" s="163"/>
      <c r="G88" s="163"/>
      <c r="H88" s="163"/>
      <c r="I88" s="163"/>
      <c r="J88" s="163"/>
      <c r="K88" s="163"/>
      <c r="L88" s="163"/>
      <c r="M88" s="163"/>
      <c r="N88" s="163"/>
      <c r="O88" s="163"/>
      <c r="P88" s="163"/>
      <c r="Q88" s="163"/>
      <c r="R88" s="163"/>
      <c r="S88" s="163"/>
      <c r="T88" s="163"/>
      <c r="U88" s="163"/>
      <c r="V88" s="163"/>
      <c r="W88" s="163"/>
      <c r="X88" s="163"/>
      <c r="Y88" s="163"/>
      <c r="Z88" s="163"/>
      <c r="AA88" s="163"/>
      <c r="AB88" s="163"/>
      <c r="AC88" s="163"/>
      <c r="AD88" s="163"/>
      <c r="AE88" s="163"/>
      <c r="AF88" s="163"/>
      <c r="AG88" s="163"/>
      <c r="AH88" s="163"/>
      <c r="AI88" s="163"/>
      <c r="AJ88" s="163"/>
    </row>
    <row r="89" spans="2:36">
      <c r="B89" s="163"/>
      <c r="C89" s="163"/>
      <c r="D89" s="163"/>
      <c r="E89" s="163"/>
      <c r="F89" s="163"/>
      <c r="G89" s="163"/>
      <c r="H89" s="163"/>
      <c r="I89" s="163"/>
      <c r="J89" s="163"/>
      <c r="K89" s="163"/>
      <c r="L89" s="163"/>
      <c r="M89" s="163"/>
      <c r="N89" s="163"/>
      <c r="O89" s="163"/>
      <c r="P89" s="163"/>
      <c r="Q89" s="163"/>
      <c r="R89" s="163"/>
      <c r="S89" s="163"/>
      <c r="T89" s="163"/>
      <c r="U89" s="163"/>
      <c r="V89" s="163"/>
      <c r="W89" s="163"/>
      <c r="X89" s="163"/>
      <c r="Y89" s="163"/>
      <c r="Z89" s="163"/>
      <c r="AA89" s="163"/>
      <c r="AB89" s="163"/>
      <c r="AC89" s="163"/>
      <c r="AD89" s="163"/>
      <c r="AE89" s="163"/>
      <c r="AF89" s="163"/>
      <c r="AG89" s="163"/>
      <c r="AH89" s="163"/>
      <c r="AI89" s="163"/>
      <c r="AJ89" s="163"/>
    </row>
    <row r="90" spans="2:36">
      <c r="B90" s="163"/>
      <c r="C90" s="163"/>
      <c r="D90" s="163"/>
      <c r="E90" s="163"/>
      <c r="F90" s="163"/>
      <c r="G90" s="163"/>
      <c r="H90" s="163"/>
      <c r="I90" s="163"/>
      <c r="J90" s="163"/>
      <c r="K90" s="163"/>
      <c r="L90" s="163"/>
      <c r="M90" s="163"/>
      <c r="N90" s="163"/>
      <c r="O90" s="163"/>
      <c r="P90" s="163"/>
      <c r="Q90" s="163"/>
      <c r="R90" s="163"/>
      <c r="S90" s="163"/>
      <c r="T90" s="163"/>
      <c r="U90" s="163"/>
      <c r="V90" s="163"/>
      <c r="W90" s="163"/>
      <c r="X90" s="163"/>
      <c r="Y90" s="163"/>
      <c r="Z90" s="163"/>
      <c r="AA90" s="163"/>
      <c r="AB90" s="163"/>
      <c r="AC90" s="163"/>
      <c r="AD90" s="163"/>
      <c r="AE90" s="163"/>
      <c r="AF90" s="163"/>
      <c r="AG90" s="163"/>
      <c r="AH90" s="163"/>
      <c r="AI90" s="163"/>
      <c r="AJ90" s="163"/>
    </row>
    <row r="91" spans="2:36">
      <c r="B91" s="163"/>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163"/>
      <c r="AG91" s="163"/>
      <c r="AH91" s="163"/>
      <c r="AI91" s="163"/>
      <c r="AJ91" s="163"/>
    </row>
    <row r="92" spans="2:36">
      <c r="B92" s="163"/>
      <c r="C92" s="163"/>
      <c r="D92" s="163"/>
      <c r="E92" s="163"/>
      <c r="F92" s="163"/>
      <c r="G92" s="163"/>
      <c r="H92" s="163"/>
      <c r="I92" s="163"/>
      <c r="J92" s="163"/>
      <c r="K92" s="163"/>
      <c r="L92" s="163"/>
      <c r="M92" s="163"/>
      <c r="N92" s="163"/>
      <c r="O92" s="163"/>
      <c r="P92" s="163"/>
      <c r="Q92" s="163"/>
      <c r="R92" s="163"/>
      <c r="S92" s="163"/>
      <c r="T92" s="163"/>
      <c r="U92" s="163"/>
      <c r="V92" s="163"/>
      <c r="W92" s="163"/>
      <c r="X92" s="163"/>
      <c r="Y92" s="163"/>
      <c r="Z92" s="163"/>
      <c r="AA92" s="163"/>
      <c r="AB92" s="163"/>
      <c r="AC92" s="163"/>
      <c r="AD92" s="163"/>
      <c r="AE92" s="163"/>
      <c r="AF92" s="163"/>
      <c r="AG92" s="163"/>
      <c r="AH92" s="163"/>
      <c r="AI92" s="163"/>
      <c r="AJ92" s="163"/>
    </row>
    <row r="93" spans="2:36">
      <c r="B93" s="163"/>
      <c r="C93" s="163"/>
      <c r="D93" s="163"/>
      <c r="E93" s="163"/>
      <c r="F93" s="16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c r="AE93" s="163"/>
      <c r="AF93" s="163"/>
      <c r="AG93" s="163"/>
      <c r="AH93" s="163"/>
      <c r="AI93" s="163"/>
      <c r="AJ93" s="163"/>
    </row>
    <row r="94" spans="2:36">
      <c r="B94" s="163"/>
      <c r="C94" s="163"/>
      <c r="D94" s="163"/>
      <c r="E94" s="163"/>
      <c r="F94" s="163"/>
      <c r="G94" s="163"/>
      <c r="H94" s="163"/>
      <c r="I94" s="163"/>
      <c r="J94" s="163"/>
      <c r="K94" s="163"/>
      <c r="L94" s="163"/>
      <c r="M94" s="163"/>
      <c r="N94" s="163"/>
      <c r="O94" s="163"/>
      <c r="P94" s="163"/>
      <c r="Q94" s="163"/>
      <c r="R94" s="163"/>
      <c r="S94" s="163"/>
      <c r="T94" s="163"/>
      <c r="U94" s="163"/>
      <c r="V94" s="163"/>
      <c r="W94" s="163"/>
      <c r="X94" s="163"/>
      <c r="Y94" s="163"/>
      <c r="Z94" s="163"/>
      <c r="AA94" s="163"/>
      <c r="AB94" s="163"/>
      <c r="AC94" s="163"/>
      <c r="AD94" s="163"/>
      <c r="AE94" s="163"/>
      <c r="AF94" s="163"/>
      <c r="AG94" s="163"/>
      <c r="AH94" s="163"/>
      <c r="AI94" s="163"/>
      <c r="AJ94" s="163"/>
    </row>
    <row r="95" spans="2:36">
      <c r="B95" s="163"/>
      <c r="C95" s="163"/>
      <c r="D95" s="163"/>
      <c r="E95" s="163"/>
      <c r="F95" s="163"/>
      <c r="G95" s="163"/>
      <c r="H95" s="163"/>
      <c r="I95" s="163"/>
      <c r="J95" s="163"/>
      <c r="K95" s="163"/>
      <c r="L95" s="163"/>
      <c r="M95" s="163"/>
      <c r="N95" s="163"/>
      <c r="O95" s="163"/>
      <c r="P95" s="163"/>
      <c r="Q95" s="163"/>
      <c r="R95" s="163"/>
      <c r="S95" s="163"/>
      <c r="T95" s="163"/>
      <c r="U95" s="163"/>
      <c r="V95" s="163"/>
      <c r="W95" s="163"/>
      <c r="X95" s="163"/>
      <c r="Y95" s="163"/>
      <c r="Z95" s="163"/>
      <c r="AA95" s="163"/>
      <c r="AB95" s="163"/>
      <c r="AC95" s="163"/>
      <c r="AD95" s="163"/>
      <c r="AE95" s="163"/>
      <c r="AF95" s="163"/>
      <c r="AG95" s="163"/>
      <c r="AH95" s="163"/>
      <c r="AI95" s="163"/>
      <c r="AJ95" s="163"/>
    </row>
    <row r="96" spans="2:36">
      <c r="B96" s="163"/>
      <c r="C96" s="163"/>
      <c r="D96" s="163"/>
      <c r="E96" s="163"/>
      <c r="F96" s="163"/>
      <c r="G96" s="163"/>
      <c r="H96" s="163"/>
      <c r="I96" s="163"/>
      <c r="J96" s="163"/>
      <c r="K96" s="163"/>
      <c r="L96" s="163"/>
      <c r="M96" s="163"/>
      <c r="N96" s="163"/>
      <c r="O96" s="163"/>
      <c r="P96" s="163"/>
      <c r="Q96" s="163"/>
      <c r="R96" s="163"/>
      <c r="S96" s="163"/>
      <c r="T96" s="163"/>
      <c r="U96" s="163"/>
      <c r="V96" s="163"/>
      <c r="W96" s="163"/>
      <c r="X96" s="163"/>
      <c r="Y96" s="163"/>
      <c r="Z96" s="163"/>
      <c r="AA96" s="163"/>
      <c r="AB96" s="163"/>
      <c r="AC96" s="163"/>
      <c r="AD96" s="163"/>
      <c r="AE96" s="163"/>
      <c r="AF96" s="163"/>
      <c r="AG96" s="163"/>
      <c r="AH96" s="163"/>
      <c r="AI96" s="163"/>
      <c r="AJ96" s="163"/>
    </row>
    <row r="97" spans="2:36">
      <c r="B97" s="163"/>
      <c r="C97" s="163"/>
      <c r="D97" s="163"/>
      <c r="E97" s="163"/>
      <c r="F97" s="163"/>
      <c r="G97" s="163"/>
      <c r="H97" s="163"/>
      <c r="I97" s="163"/>
      <c r="J97" s="163"/>
      <c r="K97" s="163"/>
      <c r="L97" s="163"/>
      <c r="M97" s="163"/>
      <c r="N97" s="163"/>
      <c r="O97" s="163"/>
      <c r="P97" s="163"/>
      <c r="Q97" s="163"/>
      <c r="R97" s="163"/>
      <c r="S97" s="163"/>
      <c r="T97" s="163"/>
      <c r="U97" s="163"/>
      <c r="V97" s="163"/>
      <c r="W97" s="163"/>
      <c r="X97" s="163"/>
      <c r="Y97" s="163"/>
      <c r="Z97" s="163"/>
      <c r="AA97" s="163"/>
      <c r="AB97" s="163"/>
      <c r="AC97" s="163"/>
      <c r="AD97" s="163"/>
      <c r="AE97" s="163"/>
      <c r="AF97" s="163"/>
      <c r="AG97" s="163"/>
      <c r="AH97" s="163"/>
      <c r="AI97" s="163"/>
      <c r="AJ97" s="163"/>
    </row>
    <row r="98" spans="2:36">
      <c r="B98" s="163"/>
      <c r="C98" s="163"/>
      <c r="D98" s="163"/>
      <c r="E98" s="163"/>
      <c r="F98" s="163"/>
      <c r="G98" s="163"/>
      <c r="H98" s="163"/>
      <c r="I98" s="163"/>
      <c r="J98" s="163"/>
      <c r="K98" s="163"/>
      <c r="L98" s="163"/>
      <c r="M98" s="163"/>
      <c r="N98" s="163"/>
      <c r="O98" s="163"/>
      <c r="P98" s="163"/>
      <c r="Q98" s="163"/>
      <c r="R98" s="163"/>
      <c r="S98" s="163"/>
      <c r="T98" s="163"/>
      <c r="U98" s="163"/>
      <c r="V98" s="163"/>
      <c r="W98" s="163"/>
      <c r="X98" s="163"/>
      <c r="Y98" s="163"/>
      <c r="Z98" s="163"/>
      <c r="AA98" s="163"/>
      <c r="AB98" s="163"/>
      <c r="AC98" s="163"/>
      <c r="AD98" s="163"/>
      <c r="AE98" s="163"/>
      <c r="AF98" s="163"/>
      <c r="AG98" s="163"/>
      <c r="AH98" s="163"/>
      <c r="AI98" s="163"/>
      <c r="AJ98" s="163"/>
    </row>
    <row r="99" spans="2:36">
      <c r="B99" s="163"/>
      <c r="C99" s="163"/>
      <c r="D99" s="163"/>
      <c r="E99" s="163"/>
      <c r="F99" s="163"/>
      <c r="G99" s="163"/>
      <c r="H99" s="163"/>
      <c r="I99" s="163"/>
      <c r="J99" s="163"/>
      <c r="K99" s="163"/>
      <c r="L99" s="163"/>
      <c r="M99" s="163"/>
      <c r="N99" s="163"/>
      <c r="O99" s="163"/>
      <c r="P99" s="163"/>
      <c r="Q99" s="163"/>
      <c r="R99" s="163"/>
      <c r="S99" s="163"/>
      <c r="T99" s="163"/>
      <c r="U99" s="163"/>
      <c r="V99" s="163"/>
      <c r="W99" s="163"/>
      <c r="X99" s="163"/>
      <c r="Y99" s="163"/>
      <c r="Z99" s="163"/>
      <c r="AA99" s="163"/>
      <c r="AB99" s="163"/>
      <c r="AC99" s="163"/>
      <c r="AD99" s="163"/>
      <c r="AE99" s="163"/>
      <c r="AF99" s="163"/>
      <c r="AG99" s="163"/>
      <c r="AH99" s="163"/>
      <c r="AI99" s="163"/>
      <c r="AJ99" s="163"/>
    </row>
    <row r="100" spans="2:36">
      <c r="B100" s="163"/>
      <c r="C100" s="163"/>
      <c r="D100" s="163"/>
      <c r="E100" s="163"/>
      <c r="F100" s="163"/>
      <c r="G100" s="163"/>
      <c r="H100" s="163"/>
      <c r="I100" s="163"/>
      <c r="J100" s="163"/>
      <c r="K100" s="163"/>
      <c r="L100" s="163"/>
      <c r="M100" s="163"/>
      <c r="N100" s="163"/>
      <c r="O100" s="163"/>
      <c r="P100" s="163"/>
      <c r="Q100" s="163"/>
      <c r="R100" s="163"/>
      <c r="S100" s="163"/>
      <c r="T100" s="163"/>
      <c r="U100" s="163"/>
      <c r="V100" s="163"/>
      <c r="W100" s="163"/>
      <c r="X100" s="163"/>
      <c r="Y100" s="163"/>
      <c r="Z100" s="163"/>
      <c r="AA100" s="163"/>
      <c r="AB100" s="163"/>
      <c r="AC100" s="163"/>
      <c r="AD100" s="163"/>
      <c r="AE100" s="163"/>
      <c r="AF100" s="163"/>
      <c r="AG100" s="163"/>
      <c r="AH100" s="163"/>
      <c r="AI100" s="163"/>
      <c r="AJ100" s="163"/>
    </row>
    <row r="101" spans="2:36">
      <c r="B101" s="163"/>
      <c r="C101" s="163"/>
      <c r="D101" s="163"/>
      <c r="E101" s="163"/>
      <c r="F101" s="163"/>
      <c r="G101" s="163"/>
      <c r="H101" s="163"/>
      <c r="I101" s="163"/>
      <c r="J101" s="163"/>
      <c r="K101" s="163"/>
      <c r="L101" s="163"/>
      <c r="M101" s="163"/>
      <c r="N101" s="163"/>
      <c r="O101" s="163"/>
      <c r="P101" s="163"/>
      <c r="Q101" s="163"/>
      <c r="R101" s="163"/>
      <c r="S101" s="163"/>
      <c r="T101" s="163"/>
      <c r="U101" s="163"/>
      <c r="V101" s="163"/>
      <c r="W101" s="163"/>
      <c r="X101" s="163"/>
      <c r="Y101" s="163"/>
      <c r="Z101" s="163"/>
      <c r="AA101" s="163"/>
      <c r="AB101" s="163"/>
      <c r="AC101" s="163"/>
      <c r="AD101" s="163"/>
      <c r="AE101" s="163"/>
      <c r="AF101" s="163"/>
      <c r="AG101" s="163"/>
      <c r="AH101" s="163"/>
      <c r="AI101" s="163"/>
      <c r="AJ101" s="163"/>
    </row>
    <row r="102" spans="2:36">
      <c r="B102" s="163"/>
      <c r="C102" s="163"/>
      <c r="D102" s="163"/>
      <c r="E102" s="163"/>
      <c r="F102" s="163"/>
      <c r="G102" s="163"/>
      <c r="H102" s="163"/>
      <c r="I102" s="163"/>
      <c r="J102" s="163"/>
      <c r="K102" s="163"/>
      <c r="L102" s="163"/>
      <c r="M102" s="163"/>
      <c r="N102" s="163"/>
      <c r="O102" s="163"/>
      <c r="P102" s="163"/>
      <c r="Q102" s="163"/>
      <c r="R102" s="163"/>
      <c r="S102" s="163"/>
      <c r="T102" s="163"/>
      <c r="U102" s="163"/>
      <c r="V102" s="163"/>
      <c r="W102" s="163"/>
      <c r="X102" s="163"/>
      <c r="Y102" s="163"/>
      <c r="Z102" s="163"/>
      <c r="AA102" s="163"/>
      <c r="AB102" s="163"/>
      <c r="AC102" s="163"/>
      <c r="AD102" s="163"/>
      <c r="AE102" s="163"/>
      <c r="AF102" s="163"/>
      <c r="AG102" s="163"/>
      <c r="AH102" s="163"/>
      <c r="AI102" s="163"/>
      <c r="AJ102" s="163"/>
    </row>
    <row r="103" spans="2:36">
      <c r="B103" s="163"/>
      <c r="C103" s="163"/>
      <c r="D103" s="163"/>
      <c r="E103" s="163"/>
      <c r="F103" s="163"/>
      <c r="G103" s="163"/>
      <c r="H103" s="163"/>
      <c r="I103" s="163"/>
      <c r="J103" s="163"/>
      <c r="K103" s="163"/>
      <c r="L103" s="163"/>
      <c r="M103" s="163"/>
      <c r="N103" s="163"/>
      <c r="O103" s="163"/>
      <c r="P103" s="163"/>
      <c r="Q103" s="163"/>
      <c r="R103" s="163"/>
      <c r="S103" s="163"/>
      <c r="T103" s="163"/>
      <c r="U103" s="163"/>
      <c r="V103" s="163"/>
      <c r="W103" s="163"/>
      <c r="X103" s="163"/>
      <c r="Y103" s="163"/>
      <c r="Z103" s="163"/>
      <c r="AA103" s="163"/>
      <c r="AB103" s="163"/>
      <c r="AC103" s="163"/>
      <c r="AD103" s="163"/>
      <c r="AE103" s="163"/>
      <c r="AF103" s="163"/>
      <c r="AG103" s="163"/>
      <c r="AH103" s="163"/>
      <c r="AI103" s="163"/>
      <c r="AJ103" s="163"/>
    </row>
    <row r="104" spans="2:36">
      <c r="B104" s="163"/>
      <c r="C104" s="163"/>
      <c r="D104" s="163"/>
      <c r="E104" s="163"/>
      <c r="F104" s="163"/>
      <c r="G104" s="163"/>
      <c r="H104" s="163"/>
      <c r="I104" s="163"/>
      <c r="J104" s="163"/>
      <c r="K104" s="163"/>
      <c r="L104" s="163"/>
      <c r="M104" s="163"/>
      <c r="N104" s="163"/>
      <c r="O104" s="163"/>
      <c r="P104" s="163"/>
      <c r="Q104" s="163"/>
      <c r="R104" s="163"/>
      <c r="S104" s="163"/>
      <c r="T104" s="163"/>
      <c r="U104" s="163"/>
      <c r="V104" s="163"/>
      <c r="W104" s="163"/>
      <c r="X104" s="163"/>
      <c r="Y104" s="163"/>
      <c r="Z104" s="163"/>
      <c r="AA104" s="163"/>
      <c r="AB104" s="163"/>
      <c r="AC104" s="163"/>
      <c r="AD104" s="163"/>
      <c r="AE104" s="163"/>
      <c r="AF104" s="163"/>
      <c r="AG104" s="163"/>
      <c r="AH104" s="163"/>
      <c r="AI104" s="163"/>
      <c r="AJ104" s="163"/>
    </row>
    <row r="105" spans="2:36">
      <c r="B105" s="163"/>
      <c r="C105" s="163"/>
      <c r="D105" s="163"/>
      <c r="E105" s="163"/>
      <c r="F105" s="163"/>
      <c r="G105" s="163"/>
      <c r="H105" s="163"/>
      <c r="I105" s="163"/>
      <c r="J105" s="163"/>
      <c r="K105" s="163"/>
      <c r="L105" s="163"/>
      <c r="M105" s="163"/>
      <c r="N105" s="163"/>
      <c r="O105" s="163"/>
      <c r="P105" s="163"/>
      <c r="Q105" s="163"/>
      <c r="R105" s="163"/>
      <c r="S105" s="163"/>
      <c r="T105" s="163"/>
      <c r="U105" s="163"/>
      <c r="V105" s="163"/>
      <c r="W105" s="163"/>
      <c r="X105" s="163"/>
      <c r="Y105" s="163"/>
      <c r="Z105" s="163"/>
      <c r="AA105" s="163"/>
      <c r="AB105" s="163"/>
      <c r="AC105" s="163"/>
      <c r="AD105" s="163"/>
      <c r="AE105" s="163"/>
      <c r="AF105" s="163"/>
      <c r="AG105" s="163"/>
      <c r="AH105" s="163"/>
      <c r="AI105" s="163"/>
      <c r="AJ105" s="163"/>
    </row>
    <row r="106" spans="2:36">
      <c r="B106" s="163"/>
      <c r="C106" s="163"/>
      <c r="D106" s="163"/>
      <c r="E106" s="163"/>
      <c r="F106" s="163"/>
      <c r="G106" s="163"/>
      <c r="H106" s="163"/>
      <c r="I106" s="163"/>
      <c r="J106" s="163"/>
      <c r="K106" s="163"/>
      <c r="L106" s="163"/>
      <c r="M106" s="163"/>
      <c r="N106" s="163"/>
      <c r="O106" s="163"/>
      <c r="P106" s="163"/>
      <c r="Q106" s="163"/>
      <c r="R106" s="163"/>
      <c r="S106" s="163"/>
      <c r="T106" s="163"/>
      <c r="U106" s="163"/>
      <c r="V106" s="163"/>
      <c r="W106" s="163"/>
      <c r="X106" s="163"/>
      <c r="Y106" s="163"/>
      <c r="Z106" s="163"/>
      <c r="AA106" s="163"/>
      <c r="AB106" s="163"/>
      <c r="AC106" s="163"/>
      <c r="AD106" s="163"/>
      <c r="AE106" s="163"/>
      <c r="AF106" s="163"/>
      <c r="AG106" s="163"/>
      <c r="AH106" s="163"/>
      <c r="AI106" s="163"/>
      <c r="AJ106" s="163"/>
    </row>
    <row r="107" spans="2:36">
      <c r="B107" s="163"/>
      <c r="C107" s="163"/>
      <c r="D107" s="163"/>
      <c r="E107" s="163"/>
      <c r="F107" s="163"/>
      <c r="G107" s="163"/>
      <c r="H107" s="163"/>
      <c r="I107" s="163"/>
      <c r="J107" s="163"/>
      <c r="K107" s="163"/>
      <c r="L107" s="163"/>
      <c r="M107" s="163"/>
      <c r="N107" s="163"/>
      <c r="O107" s="163"/>
      <c r="P107" s="163"/>
      <c r="Q107" s="163"/>
      <c r="R107" s="163"/>
      <c r="S107" s="163"/>
      <c r="T107" s="163"/>
      <c r="U107" s="163"/>
      <c r="V107" s="163"/>
      <c r="W107" s="163"/>
      <c r="X107" s="163"/>
      <c r="Y107" s="163"/>
      <c r="Z107" s="163"/>
      <c r="AA107" s="163"/>
      <c r="AB107" s="163"/>
      <c r="AC107" s="163"/>
      <c r="AD107" s="163"/>
      <c r="AE107" s="163"/>
      <c r="AF107" s="163"/>
      <c r="AG107" s="163"/>
      <c r="AH107" s="163"/>
      <c r="AI107" s="163"/>
      <c r="AJ107" s="163"/>
    </row>
    <row r="108" spans="2:36">
      <c r="B108" s="163"/>
      <c r="C108" s="163"/>
      <c r="D108" s="163"/>
      <c r="E108" s="163"/>
      <c r="F108" s="163"/>
      <c r="G108" s="163"/>
      <c r="H108" s="163"/>
      <c r="I108" s="163"/>
      <c r="J108" s="163"/>
      <c r="K108" s="163"/>
      <c r="L108" s="163"/>
      <c r="M108" s="163"/>
      <c r="N108" s="163"/>
      <c r="O108" s="163"/>
      <c r="P108" s="163"/>
      <c r="Q108" s="163"/>
      <c r="R108" s="163"/>
      <c r="S108" s="163"/>
      <c r="T108" s="163"/>
      <c r="U108" s="163"/>
      <c r="V108" s="163"/>
      <c r="W108" s="163"/>
      <c r="X108" s="163"/>
      <c r="Y108" s="163"/>
      <c r="Z108" s="163"/>
      <c r="AA108" s="163"/>
      <c r="AB108" s="163"/>
      <c r="AC108" s="163"/>
      <c r="AD108" s="163"/>
      <c r="AE108" s="163"/>
      <c r="AF108" s="163"/>
      <c r="AG108" s="163"/>
      <c r="AH108" s="163"/>
      <c r="AI108" s="163"/>
      <c r="AJ108" s="163"/>
    </row>
    <row r="109" spans="2:36">
      <c r="B109" s="163"/>
      <c r="C109" s="163"/>
      <c r="D109" s="163"/>
      <c r="E109" s="163"/>
      <c r="F109" s="163"/>
      <c r="G109" s="163"/>
      <c r="H109" s="163"/>
      <c r="I109" s="163"/>
      <c r="J109" s="163"/>
      <c r="K109" s="163"/>
      <c r="L109" s="163"/>
      <c r="M109" s="163"/>
      <c r="N109" s="163"/>
      <c r="O109" s="163"/>
      <c r="P109" s="163"/>
      <c r="Q109" s="163"/>
      <c r="R109" s="163"/>
      <c r="S109" s="163"/>
      <c r="T109" s="163"/>
      <c r="U109" s="163"/>
      <c r="V109" s="163"/>
      <c r="W109" s="163"/>
      <c r="X109" s="163"/>
      <c r="Y109" s="163"/>
      <c r="Z109" s="163"/>
      <c r="AA109" s="163"/>
      <c r="AB109" s="163"/>
      <c r="AC109" s="163"/>
      <c r="AD109" s="163"/>
      <c r="AE109" s="163"/>
      <c r="AF109" s="163"/>
      <c r="AG109" s="163"/>
      <c r="AH109" s="163"/>
      <c r="AI109" s="163"/>
      <c r="AJ109" s="163"/>
    </row>
    <row r="110" spans="2:36">
      <c r="B110" s="163"/>
      <c r="C110" s="163"/>
      <c r="D110" s="163"/>
      <c r="E110" s="163"/>
      <c r="F110" s="163"/>
      <c r="G110" s="163"/>
      <c r="H110" s="163"/>
      <c r="I110" s="163"/>
      <c r="J110" s="163"/>
      <c r="K110" s="163"/>
      <c r="L110" s="163"/>
      <c r="M110" s="163"/>
      <c r="N110" s="163"/>
      <c r="O110" s="163"/>
      <c r="P110" s="163"/>
      <c r="Q110" s="163"/>
      <c r="R110" s="163"/>
      <c r="S110" s="163"/>
      <c r="T110" s="163"/>
      <c r="U110" s="163"/>
      <c r="V110" s="163"/>
      <c r="W110" s="163"/>
      <c r="X110" s="163"/>
      <c r="Y110" s="163"/>
      <c r="Z110" s="163"/>
      <c r="AA110" s="163"/>
      <c r="AB110" s="163"/>
      <c r="AC110" s="163"/>
      <c r="AD110" s="163"/>
      <c r="AE110" s="163"/>
      <c r="AF110" s="163"/>
      <c r="AG110" s="163"/>
      <c r="AH110" s="163"/>
      <c r="AI110" s="163"/>
      <c r="AJ110" s="163"/>
    </row>
    <row r="111" spans="2:36">
      <c r="B111" s="163"/>
      <c r="C111" s="163"/>
      <c r="D111" s="163"/>
      <c r="E111" s="163"/>
      <c r="F111" s="163"/>
      <c r="G111" s="163"/>
      <c r="H111" s="163"/>
      <c r="I111" s="163"/>
      <c r="J111" s="163"/>
      <c r="K111" s="163"/>
      <c r="L111" s="163"/>
      <c r="M111" s="163"/>
      <c r="N111" s="163"/>
      <c r="O111" s="163"/>
      <c r="P111" s="163"/>
      <c r="Q111" s="163"/>
      <c r="R111" s="163"/>
      <c r="S111" s="163"/>
      <c r="T111" s="163"/>
      <c r="U111" s="163"/>
      <c r="V111" s="163"/>
      <c r="W111" s="163"/>
      <c r="X111" s="163"/>
      <c r="Y111" s="163"/>
      <c r="Z111" s="163"/>
      <c r="AA111" s="163"/>
      <c r="AB111" s="163"/>
      <c r="AC111" s="163"/>
      <c r="AD111" s="163"/>
      <c r="AE111" s="163"/>
      <c r="AF111" s="163"/>
      <c r="AG111" s="163"/>
      <c r="AH111" s="163"/>
      <c r="AI111" s="163"/>
      <c r="AJ111" s="163"/>
    </row>
    <row r="112" spans="2:36">
      <c r="B112" s="163"/>
      <c r="C112" s="163"/>
      <c r="D112" s="163"/>
      <c r="E112" s="163"/>
      <c r="F112" s="163"/>
      <c r="G112" s="163"/>
      <c r="H112" s="163"/>
      <c r="I112" s="163"/>
      <c r="J112" s="163"/>
      <c r="K112" s="163"/>
      <c r="L112" s="163"/>
      <c r="M112" s="163"/>
      <c r="N112" s="163"/>
      <c r="O112" s="163"/>
      <c r="P112" s="163"/>
      <c r="Q112" s="163"/>
      <c r="R112" s="163"/>
      <c r="S112" s="163"/>
      <c r="T112" s="163"/>
      <c r="U112" s="163"/>
      <c r="V112" s="163"/>
      <c r="W112" s="163"/>
      <c r="X112" s="163"/>
      <c r="Y112" s="163"/>
      <c r="Z112" s="163"/>
      <c r="AA112" s="163"/>
      <c r="AB112" s="163"/>
      <c r="AC112" s="163"/>
      <c r="AD112" s="163"/>
      <c r="AE112" s="163"/>
      <c r="AF112" s="163"/>
      <c r="AG112" s="163"/>
      <c r="AH112" s="163"/>
      <c r="AI112" s="163"/>
      <c r="AJ112" s="163"/>
    </row>
    <row r="113" spans="2:36">
      <c r="B113" s="163"/>
      <c r="C113" s="163"/>
      <c r="D113" s="163"/>
      <c r="E113" s="163"/>
      <c r="F113" s="163"/>
      <c r="G113" s="163"/>
      <c r="H113" s="163"/>
      <c r="I113" s="163"/>
      <c r="J113" s="163"/>
      <c r="K113" s="163"/>
      <c r="L113" s="163"/>
      <c r="M113" s="163"/>
      <c r="N113" s="163"/>
      <c r="O113" s="163"/>
      <c r="P113" s="163"/>
      <c r="Q113" s="163"/>
      <c r="R113" s="163"/>
      <c r="S113" s="163"/>
      <c r="T113" s="163"/>
      <c r="U113" s="163"/>
      <c r="V113" s="163"/>
      <c r="W113" s="163"/>
      <c r="X113" s="163"/>
      <c r="Y113" s="163"/>
      <c r="Z113" s="163"/>
      <c r="AA113" s="163"/>
      <c r="AB113" s="163"/>
      <c r="AC113" s="163"/>
      <c r="AD113" s="163"/>
      <c r="AE113" s="163"/>
      <c r="AF113" s="163"/>
      <c r="AG113" s="163"/>
      <c r="AH113" s="163"/>
      <c r="AI113" s="163"/>
      <c r="AJ113" s="163"/>
    </row>
    <row r="114" spans="2:36">
      <c r="B114" s="163"/>
      <c r="C114" s="163"/>
      <c r="D114" s="163"/>
      <c r="E114" s="163"/>
      <c r="F114" s="163"/>
      <c r="G114" s="163"/>
      <c r="H114" s="163"/>
      <c r="I114" s="163"/>
      <c r="J114" s="163"/>
      <c r="K114" s="163"/>
      <c r="L114" s="163"/>
      <c r="M114" s="163"/>
      <c r="N114" s="163"/>
      <c r="O114" s="163"/>
      <c r="P114" s="163"/>
      <c r="Q114" s="163"/>
      <c r="R114" s="163"/>
      <c r="S114" s="163"/>
      <c r="T114" s="163"/>
      <c r="U114" s="163"/>
      <c r="V114" s="163"/>
      <c r="W114" s="163"/>
      <c r="X114" s="163"/>
      <c r="Y114" s="163"/>
      <c r="Z114" s="163"/>
      <c r="AA114" s="163"/>
      <c r="AB114" s="163"/>
      <c r="AC114" s="163"/>
      <c r="AD114" s="163"/>
      <c r="AE114" s="163"/>
      <c r="AF114" s="163"/>
      <c r="AG114" s="163"/>
      <c r="AH114" s="163"/>
      <c r="AI114" s="163"/>
      <c r="AJ114" s="163"/>
    </row>
    <row r="115" spans="2:36">
      <c r="B115" s="163"/>
      <c r="C115" s="163"/>
      <c r="D115" s="163"/>
      <c r="E115" s="163"/>
      <c r="F115" s="163"/>
      <c r="G115" s="163"/>
      <c r="H115" s="163"/>
      <c r="I115" s="163"/>
      <c r="J115" s="163"/>
      <c r="K115" s="163"/>
      <c r="L115" s="163"/>
      <c r="M115" s="163"/>
      <c r="N115" s="163"/>
      <c r="O115" s="163"/>
      <c r="P115" s="163"/>
      <c r="Q115" s="163"/>
      <c r="R115" s="163"/>
      <c r="S115" s="163"/>
      <c r="T115" s="163"/>
      <c r="U115" s="163"/>
      <c r="V115" s="163"/>
      <c r="W115" s="163"/>
      <c r="X115" s="163"/>
      <c r="Y115" s="163"/>
      <c r="Z115" s="163"/>
      <c r="AA115" s="163"/>
      <c r="AB115" s="163"/>
      <c r="AC115" s="163"/>
      <c r="AD115" s="163"/>
      <c r="AE115" s="163"/>
      <c r="AF115" s="163"/>
      <c r="AG115" s="163"/>
      <c r="AH115" s="163"/>
      <c r="AI115" s="163"/>
      <c r="AJ115" s="163"/>
    </row>
    <row r="116" spans="2:36">
      <c r="B116" s="163"/>
      <c r="C116" s="163"/>
      <c r="D116" s="163"/>
      <c r="E116" s="163"/>
      <c r="F116" s="163"/>
      <c r="G116" s="163"/>
      <c r="H116" s="163"/>
      <c r="I116" s="163"/>
      <c r="J116" s="163"/>
      <c r="K116" s="163"/>
      <c r="L116" s="163"/>
      <c r="M116" s="163"/>
      <c r="N116" s="163"/>
      <c r="O116" s="163"/>
      <c r="P116" s="163"/>
      <c r="Q116" s="163"/>
      <c r="R116" s="163"/>
      <c r="S116" s="163"/>
      <c r="T116" s="163"/>
      <c r="U116" s="163"/>
      <c r="V116" s="163"/>
      <c r="W116" s="163"/>
      <c r="X116" s="163"/>
      <c r="Y116" s="163"/>
      <c r="Z116" s="163"/>
      <c r="AA116" s="163"/>
      <c r="AB116" s="163"/>
      <c r="AC116" s="163"/>
      <c r="AD116" s="163"/>
      <c r="AE116" s="163"/>
      <c r="AF116" s="163"/>
      <c r="AG116" s="163"/>
      <c r="AH116" s="163"/>
      <c r="AI116" s="163"/>
      <c r="AJ116" s="163"/>
    </row>
    <row r="117" spans="2:36">
      <c r="B117" s="163"/>
      <c r="C117" s="163"/>
      <c r="D117" s="163"/>
      <c r="E117" s="163"/>
      <c r="F117" s="163"/>
      <c r="G117" s="163"/>
      <c r="H117" s="163"/>
      <c r="I117" s="163"/>
      <c r="J117" s="163"/>
      <c r="K117" s="163"/>
      <c r="L117" s="163"/>
      <c r="M117" s="163"/>
      <c r="N117" s="163"/>
      <c r="O117" s="163"/>
      <c r="P117" s="163"/>
      <c r="Q117" s="163"/>
      <c r="R117" s="163"/>
      <c r="S117" s="163"/>
      <c r="T117" s="163"/>
      <c r="U117" s="163"/>
      <c r="V117" s="163"/>
      <c r="W117" s="163"/>
      <c r="X117" s="163"/>
      <c r="Y117" s="163"/>
      <c r="Z117" s="163"/>
      <c r="AA117" s="163"/>
      <c r="AB117" s="163"/>
      <c r="AC117" s="163"/>
      <c r="AD117" s="163"/>
      <c r="AE117" s="163"/>
      <c r="AF117" s="163"/>
      <c r="AG117" s="163"/>
      <c r="AH117" s="163"/>
      <c r="AI117" s="163"/>
      <c r="AJ117" s="163"/>
    </row>
    <row r="118" spans="2:36">
      <c r="B118" s="163"/>
      <c r="C118" s="163"/>
      <c r="D118" s="163"/>
      <c r="E118" s="163"/>
      <c r="F118" s="163"/>
      <c r="G118" s="163"/>
      <c r="H118" s="163"/>
      <c r="I118" s="163"/>
      <c r="J118" s="163"/>
      <c r="K118" s="163"/>
      <c r="L118" s="163"/>
      <c r="M118" s="163"/>
      <c r="N118" s="163"/>
      <c r="O118" s="163"/>
      <c r="P118" s="163"/>
      <c r="Q118" s="163"/>
      <c r="R118" s="163"/>
      <c r="S118" s="163"/>
      <c r="T118" s="163"/>
      <c r="U118" s="163"/>
      <c r="V118" s="163"/>
      <c r="W118" s="163"/>
      <c r="X118" s="163"/>
      <c r="Y118" s="163"/>
      <c r="Z118" s="163"/>
      <c r="AA118" s="163"/>
      <c r="AB118" s="163"/>
      <c r="AC118" s="163"/>
      <c r="AD118" s="163"/>
      <c r="AE118" s="163"/>
      <c r="AF118" s="163"/>
      <c r="AG118" s="163"/>
      <c r="AH118" s="163"/>
      <c r="AI118" s="163"/>
      <c r="AJ118" s="163"/>
    </row>
    <row r="119" spans="2:36">
      <c r="B119" s="163"/>
      <c r="C119" s="163"/>
      <c r="D119" s="163"/>
      <c r="E119" s="163"/>
      <c r="F119" s="163"/>
      <c r="G119" s="163"/>
      <c r="H119" s="163"/>
      <c r="I119" s="163"/>
      <c r="J119" s="163"/>
      <c r="K119" s="163"/>
      <c r="L119" s="163"/>
      <c r="M119" s="163"/>
      <c r="N119" s="163"/>
      <c r="O119" s="163"/>
      <c r="P119" s="163"/>
      <c r="Q119" s="163"/>
      <c r="R119" s="163"/>
      <c r="S119" s="163"/>
      <c r="T119" s="163"/>
      <c r="U119" s="163"/>
      <c r="V119" s="163"/>
      <c r="W119" s="163"/>
      <c r="X119" s="163"/>
      <c r="Y119" s="163"/>
      <c r="Z119" s="163"/>
      <c r="AA119" s="163"/>
      <c r="AB119" s="163"/>
      <c r="AC119" s="163"/>
      <c r="AD119" s="163"/>
      <c r="AE119" s="163"/>
      <c r="AF119" s="163"/>
      <c r="AG119" s="163"/>
      <c r="AH119" s="163"/>
      <c r="AI119" s="163"/>
      <c r="AJ119" s="163"/>
    </row>
    <row r="120" spans="2:36">
      <c r="B120" s="163"/>
      <c r="C120" s="163"/>
      <c r="D120" s="163"/>
      <c r="E120" s="163"/>
      <c r="F120" s="163"/>
      <c r="G120" s="163"/>
      <c r="H120" s="163"/>
      <c r="I120" s="163"/>
      <c r="J120" s="163"/>
      <c r="K120" s="163"/>
      <c r="L120" s="163"/>
      <c r="M120" s="163"/>
      <c r="N120" s="163"/>
      <c r="O120" s="163"/>
      <c r="P120" s="163"/>
      <c r="Q120" s="163"/>
      <c r="R120" s="163"/>
      <c r="S120" s="163"/>
      <c r="T120" s="163"/>
      <c r="U120" s="163"/>
      <c r="V120" s="163"/>
      <c r="W120" s="163"/>
      <c r="X120" s="163"/>
      <c r="Y120" s="163"/>
      <c r="Z120" s="163"/>
      <c r="AA120" s="163"/>
      <c r="AB120" s="163"/>
      <c r="AC120" s="163"/>
      <c r="AD120" s="163"/>
      <c r="AE120" s="163"/>
      <c r="AF120" s="163"/>
      <c r="AG120" s="163"/>
      <c r="AH120" s="163"/>
      <c r="AI120" s="163"/>
      <c r="AJ120" s="163"/>
    </row>
    <row r="121" spans="2:36">
      <c r="B121" s="163"/>
      <c r="C121" s="163"/>
      <c r="D121" s="163"/>
      <c r="E121" s="163"/>
      <c r="F121" s="163"/>
      <c r="G121" s="163"/>
      <c r="H121" s="163"/>
      <c r="I121" s="163"/>
      <c r="J121" s="163"/>
      <c r="K121" s="163"/>
      <c r="L121" s="163"/>
      <c r="M121" s="163"/>
      <c r="N121" s="163"/>
      <c r="O121" s="163"/>
      <c r="P121" s="163"/>
      <c r="Q121" s="163"/>
      <c r="R121" s="163"/>
      <c r="S121" s="163"/>
      <c r="T121" s="163"/>
      <c r="U121" s="163"/>
      <c r="V121" s="163"/>
      <c r="W121" s="163"/>
      <c r="X121" s="163"/>
      <c r="Y121" s="163"/>
      <c r="Z121" s="163"/>
      <c r="AA121" s="163"/>
      <c r="AB121" s="163"/>
      <c r="AC121" s="163"/>
      <c r="AD121" s="163"/>
      <c r="AE121" s="163"/>
      <c r="AF121" s="163"/>
      <c r="AG121" s="163"/>
      <c r="AH121" s="163"/>
      <c r="AI121" s="163"/>
      <c r="AJ121" s="163"/>
    </row>
    <row r="122" spans="2:36">
      <c r="B122" s="163"/>
      <c r="C122" s="163"/>
      <c r="D122" s="163"/>
      <c r="E122" s="163"/>
      <c r="F122" s="163"/>
      <c r="G122" s="163"/>
      <c r="H122" s="163"/>
      <c r="I122" s="163"/>
      <c r="J122" s="163"/>
      <c r="K122" s="163"/>
      <c r="L122" s="163"/>
      <c r="M122" s="163"/>
      <c r="N122" s="163"/>
      <c r="O122" s="163"/>
      <c r="P122" s="163"/>
      <c r="Q122" s="163"/>
      <c r="R122" s="163"/>
      <c r="S122" s="163"/>
      <c r="T122" s="163"/>
      <c r="U122" s="163"/>
      <c r="V122" s="163"/>
      <c r="W122" s="163"/>
      <c r="X122" s="163"/>
      <c r="Y122" s="163"/>
      <c r="Z122" s="163"/>
      <c r="AA122" s="163"/>
      <c r="AB122" s="163"/>
      <c r="AC122" s="163"/>
      <c r="AD122" s="163"/>
      <c r="AE122" s="163"/>
      <c r="AF122" s="163"/>
      <c r="AG122" s="163"/>
      <c r="AH122" s="163"/>
      <c r="AI122" s="163"/>
      <c r="AJ122" s="163"/>
    </row>
    <row r="123" spans="2:36">
      <c r="B123" s="163"/>
      <c r="C123" s="163"/>
      <c r="D123" s="163"/>
      <c r="E123" s="163"/>
      <c r="F123" s="163"/>
      <c r="G123" s="163"/>
      <c r="H123" s="163"/>
      <c r="I123" s="163"/>
      <c r="J123" s="163"/>
      <c r="K123" s="163"/>
      <c r="L123" s="163"/>
      <c r="M123" s="163"/>
      <c r="N123" s="163"/>
      <c r="O123" s="163"/>
      <c r="P123" s="163"/>
      <c r="Q123" s="163"/>
      <c r="R123" s="163"/>
      <c r="S123" s="163"/>
      <c r="T123" s="163"/>
      <c r="U123" s="163"/>
      <c r="V123" s="163"/>
      <c r="W123" s="163"/>
      <c r="X123" s="163"/>
      <c r="Y123" s="163"/>
      <c r="Z123" s="163"/>
      <c r="AA123" s="163"/>
      <c r="AB123" s="163"/>
      <c r="AC123" s="163"/>
      <c r="AD123" s="163"/>
      <c r="AE123" s="163"/>
      <c r="AF123" s="163"/>
      <c r="AG123" s="163"/>
      <c r="AH123" s="163"/>
      <c r="AI123" s="163"/>
      <c r="AJ123" s="163"/>
    </row>
    <row r="124" spans="2:36">
      <c r="B124" s="163"/>
      <c r="C124" s="163"/>
      <c r="D124" s="163"/>
      <c r="E124" s="163"/>
      <c r="F124" s="163"/>
      <c r="G124" s="163"/>
      <c r="H124" s="163"/>
      <c r="I124" s="163"/>
      <c r="J124" s="163"/>
      <c r="K124" s="163"/>
      <c r="L124" s="163"/>
      <c r="M124" s="163"/>
      <c r="N124" s="163"/>
      <c r="O124" s="163"/>
      <c r="P124" s="163"/>
      <c r="Q124" s="163"/>
      <c r="R124" s="163"/>
      <c r="S124" s="163"/>
      <c r="T124" s="163"/>
      <c r="U124" s="163"/>
      <c r="V124" s="163"/>
      <c r="W124" s="163"/>
      <c r="X124" s="163"/>
      <c r="Y124" s="163"/>
      <c r="Z124" s="163"/>
      <c r="AA124" s="163"/>
      <c r="AB124" s="163"/>
      <c r="AC124" s="163"/>
      <c r="AD124" s="163"/>
      <c r="AE124" s="163"/>
      <c r="AF124" s="163"/>
      <c r="AG124" s="163"/>
      <c r="AH124" s="163"/>
      <c r="AI124" s="163"/>
      <c r="AJ124" s="163"/>
    </row>
    <row r="125" spans="2:36">
      <c r="B125" s="163"/>
      <c r="C125" s="163"/>
      <c r="D125" s="163"/>
      <c r="E125" s="163"/>
      <c r="F125" s="163"/>
      <c r="G125" s="163"/>
      <c r="H125" s="163"/>
      <c r="I125" s="163"/>
      <c r="J125" s="163"/>
      <c r="K125" s="163"/>
      <c r="L125" s="163"/>
      <c r="M125" s="163"/>
      <c r="N125" s="163"/>
      <c r="O125" s="163"/>
      <c r="P125" s="163"/>
      <c r="Q125" s="163"/>
      <c r="R125" s="163"/>
      <c r="S125" s="163"/>
      <c r="T125" s="163"/>
      <c r="U125" s="163"/>
      <c r="V125" s="163"/>
      <c r="W125" s="163"/>
      <c r="X125" s="163"/>
      <c r="Y125" s="163"/>
      <c r="Z125" s="163"/>
      <c r="AA125" s="163"/>
      <c r="AB125" s="163"/>
      <c r="AC125" s="163"/>
      <c r="AD125" s="163"/>
      <c r="AE125" s="163"/>
      <c r="AF125" s="163"/>
      <c r="AG125" s="163"/>
      <c r="AH125" s="163"/>
      <c r="AI125" s="163"/>
      <c r="AJ125" s="163"/>
    </row>
    <row r="126" spans="2:36">
      <c r="B126" s="163"/>
      <c r="C126" s="163"/>
      <c r="D126" s="163"/>
      <c r="E126" s="163"/>
      <c r="F126" s="163"/>
      <c r="G126" s="163"/>
      <c r="H126" s="163"/>
      <c r="I126" s="163"/>
      <c r="J126" s="163"/>
      <c r="K126" s="163"/>
      <c r="L126" s="163"/>
      <c r="M126" s="163"/>
      <c r="N126" s="163"/>
      <c r="O126" s="163"/>
      <c r="P126" s="163"/>
      <c r="Q126" s="163"/>
      <c r="R126" s="163"/>
      <c r="S126" s="163"/>
      <c r="T126" s="163"/>
      <c r="U126" s="163"/>
      <c r="V126" s="163"/>
      <c r="W126" s="163"/>
      <c r="X126" s="163"/>
      <c r="Y126" s="163"/>
      <c r="Z126" s="163"/>
      <c r="AA126" s="163"/>
      <c r="AB126" s="163"/>
      <c r="AC126" s="163"/>
      <c r="AD126" s="163"/>
      <c r="AE126" s="163"/>
      <c r="AF126" s="163"/>
      <c r="AG126" s="163"/>
      <c r="AH126" s="163"/>
      <c r="AI126" s="163"/>
      <c r="AJ126" s="163"/>
    </row>
    <row r="127" spans="2:36">
      <c r="B127" s="163"/>
      <c r="C127" s="163"/>
      <c r="D127" s="163"/>
      <c r="E127" s="163"/>
      <c r="F127" s="163"/>
      <c r="G127" s="163"/>
      <c r="H127" s="163"/>
      <c r="I127" s="163"/>
      <c r="J127" s="163"/>
      <c r="K127" s="163"/>
      <c r="L127" s="163"/>
      <c r="M127" s="163"/>
      <c r="N127" s="163"/>
      <c r="O127" s="163"/>
      <c r="P127" s="163"/>
      <c r="Q127" s="163"/>
      <c r="R127" s="163"/>
      <c r="S127" s="163"/>
      <c r="T127" s="163"/>
      <c r="U127" s="163"/>
      <c r="V127" s="163"/>
      <c r="W127" s="163"/>
      <c r="X127" s="163"/>
      <c r="Y127" s="163"/>
      <c r="Z127" s="163"/>
      <c r="AA127" s="163"/>
      <c r="AB127" s="163"/>
      <c r="AC127" s="163"/>
      <c r="AD127" s="163"/>
      <c r="AE127" s="163"/>
      <c r="AF127" s="163"/>
      <c r="AG127" s="163"/>
      <c r="AH127" s="163"/>
      <c r="AI127" s="163"/>
      <c r="AJ127" s="163"/>
    </row>
    <row r="128" spans="2:36">
      <c r="B128" s="163"/>
      <c r="C128" s="163"/>
      <c r="D128" s="163"/>
      <c r="E128" s="163"/>
      <c r="F128" s="163"/>
      <c r="G128" s="163"/>
      <c r="H128" s="163"/>
      <c r="I128" s="163"/>
      <c r="J128" s="163"/>
      <c r="K128" s="163"/>
      <c r="L128" s="163"/>
      <c r="M128" s="163"/>
      <c r="N128" s="163"/>
      <c r="O128" s="163"/>
      <c r="P128" s="163"/>
      <c r="Q128" s="163"/>
      <c r="R128" s="163"/>
      <c r="S128" s="163"/>
      <c r="T128" s="163"/>
      <c r="U128" s="163"/>
      <c r="V128" s="163"/>
      <c r="W128" s="163"/>
      <c r="X128" s="163"/>
      <c r="Y128" s="163"/>
      <c r="Z128" s="163"/>
      <c r="AA128" s="163"/>
      <c r="AB128" s="163"/>
      <c r="AC128" s="163"/>
      <c r="AD128" s="163"/>
      <c r="AE128" s="163"/>
      <c r="AF128" s="163"/>
      <c r="AG128" s="163"/>
      <c r="AH128" s="163"/>
      <c r="AI128" s="163"/>
      <c r="AJ128" s="163"/>
    </row>
    <row r="129" spans="2:36">
      <c r="B129" s="163"/>
      <c r="C129" s="163"/>
      <c r="D129" s="163"/>
      <c r="E129" s="163"/>
      <c r="F129" s="163"/>
      <c r="G129" s="163"/>
      <c r="H129" s="163"/>
      <c r="I129" s="163"/>
      <c r="J129" s="163"/>
      <c r="K129" s="163"/>
      <c r="L129" s="163"/>
      <c r="M129" s="163"/>
      <c r="N129" s="163"/>
      <c r="O129" s="163"/>
      <c r="P129" s="163"/>
      <c r="Q129" s="163"/>
      <c r="R129" s="163"/>
      <c r="S129" s="163"/>
      <c r="T129" s="163"/>
      <c r="U129" s="163"/>
      <c r="V129" s="163"/>
      <c r="W129" s="163"/>
      <c r="X129" s="163"/>
      <c r="Y129" s="163"/>
      <c r="Z129" s="163"/>
      <c r="AA129" s="163"/>
      <c r="AB129" s="163"/>
      <c r="AC129" s="163"/>
      <c r="AD129" s="163"/>
      <c r="AE129" s="163"/>
      <c r="AF129" s="163"/>
      <c r="AG129" s="163"/>
      <c r="AH129" s="163"/>
      <c r="AI129" s="163"/>
      <c r="AJ129" s="163"/>
    </row>
    <row r="130" spans="2:36">
      <c r="B130" s="163"/>
      <c r="C130" s="163"/>
      <c r="D130" s="163"/>
      <c r="E130" s="163"/>
      <c r="F130" s="163"/>
      <c r="G130" s="163"/>
      <c r="H130" s="163"/>
      <c r="I130" s="163"/>
      <c r="J130" s="163"/>
      <c r="K130" s="163"/>
      <c r="L130" s="163"/>
      <c r="M130" s="163"/>
      <c r="N130" s="163"/>
      <c r="O130" s="163"/>
      <c r="P130" s="163"/>
      <c r="Q130" s="163"/>
      <c r="R130" s="163"/>
      <c r="S130" s="163"/>
      <c r="T130" s="163"/>
      <c r="U130" s="163"/>
      <c r="V130" s="163"/>
      <c r="W130" s="163"/>
      <c r="X130" s="163"/>
      <c r="Y130" s="163"/>
      <c r="Z130" s="163"/>
      <c r="AA130" s="163"/>
      <c r="AB130" s="163"/>
      <c r="AC130" s="163"/>
      <c r="AD130" s="163"/>
      <c r="AE130" s="163"/>
      <c r="AF130" s="163"/>
      <c r="AG130" s="163"/>
      <c r="AH130" s="163"/>
      <c r="AI130" s="163"/>
      <c r="AJ130" s="163"/>
    </row>
    <row r="131" spans="2:36">
      <c r="B131" s="163"/>
      <c r="C131" s="163"/>
      <c r="D131" s="163"/>
      <c r="E131" s="163"/>
      <c r="F131" s="163"/>
      <c r="G131" s="163"/>
      <c r="H131" s="163"/>
      <c r="I131" s="163"/>
      <c r="J131" s="163"/>
      <c r="K131" s="163"/>
      <c r="L131" s="163"/>
      <c r="M131" s="163"/>
      <c r="N131" s="163"/>
      <c r="O131" s="163"/>
      <c r="P131" s="163"/>
      <c r="Q131" s="163"/>
      <c r="R131" s="163"/>
      <c r="S131" s="163"/>
      <c r="T131" s="163"/>
      <c r="U131" s="163"/>
      <c r="V131" s="163"/>
      <c r="W131" s="163"/>
      <c r="X131" s="163"/>
      <c r="Y131" s="163"/>
      <c r="Z131" s="163"/>
      <c r="AA131" s="163"/>
      <c r="AB131" s="163"/>
      <c r="AC131" s="163"/>
      <c r="AD131" s="163"/>
      <c r="AE131" s="163"/>
      <c r="AF131" s="163"/>
      <c r="AG131" s="163"/>
      <c r="AH131" s="163"/>
      <c r="AI131" s="163"/>
      <c r="AJ131" s="163"/>
    </row>
    <row r="132" spans="2:36">
      <c r="B132" s="163"/>
      <c r="C132" s="163"/>
      <c r="D132" s="163"/>
      <c r="E132" s="163"/>
      <c r="F132" s="163"/>
      <c r="G132" s="163"/>
      <c r="H132" s="163"/>
      <c r="I132" s="163"/>
      <c r="J132" s="163"/>
      <c r="K132" s="163"/>
      <c r="L132" s="163"/>
      <c r="M132" s="163"/>
      <c r="N132" s="163"/>
      <c r="O132" s="163"/>
      <c r="P132" s="163"/>
      <c r="Q132" s="163"/>
      <c r="R132" s="163"/>
      <c r="S132" s="163"/>
      <c r="T132" s="163"/>
      <c r="U132" s="163"/>
      <c r="V132" s="163"/>
      <c r="W132" s="163"/>
      <c r="X132" s="163"/>
      <c r="Y132" s="163"/>
      <c r="Z132" s="163"/>
      <c r="AA132" s="163"/>
      <c r="AB132" s="163"/>
      <c r="AC132" s="163"/>
      <c r="AD132" s="163"/>
      <c r="AE132" s="163"/>
      <c r="AF132" s="163"/>
      <c r="AG132" s="163"/>
      <c r="AH132" s="163"/>
      <c r="AI132" s="163"/>
      <c r="AJ132" s="163"/>
    </row>
    <row r="133" spans="2:36">
      <c r="B133" s="163"/>
      <c r="C133" s="163"/>
      <c r="D133" s="163"/>
      <c r="E133" s="163"/>
      <c r="F133" s="163"/>
      <c r="G133" s="163"/>
      <c r="H133" s="163"/>
      <c r="I133" s="163"/>
      <c r="J133" s="163"/>
      <c r="K133" s="163"/>
      <c r="L133" s="163"/>
      <c r="M133" s="163"/>
      <c r="N133" s="163"/>
      <c r="O133" s="163"/>
      <c r="P133" s="163"/>
      <c r="Q133" s="163"/>
      <c r="R133" s="163"/>
      <c r="S133" s="163"/>
      <c r="T133" s="163"/>
      <c r="U133" s="163"/>
      <c r="V133" s="163"/>
      <c r="W133" s="163"/>
      <c r="X133" s="163"/>
      <c r="Y133" s="163"/>
      <c r="Z133" s="163"/>
      <c r="AA133" s="163"/>
      <c r="AB133" s="163"/>
      <c r="AC133" s="163"/>
      <c r="AD133" s="163"/>
      <c r="AE133" s="163"/>
      <c r="AF133" s="163"/>
      <c r="AG133" s="163"/>
      <c r="AH133" s="163"/>
      <c r="AI133" s="163"/>
      <c r="AJ133" s="163"/>
    </row>
    <row r="134" spans="2:36">
      <c r="B134" s="163"/>
      <c r="C134" s="163"/>
      <c r="D134" s="163"/>
      <c r="E134" s="163"/>
      <c r="F134" s="163"/>
      <c r="G134" s="163"/>
      <c r="H134" s="163"/>
      <c r="I134" s="163"/>
      <c r="J134" s="163"/>
      <c r="K134" s="163"/>
      <c r="L134" s="163"/>
      <c r="M134" s="163"/>
      <c r="N134" s="163"/>
      <c r="O134" s="163"/>
      <c r="P134" s="163"/>
      <c r="Q134" s="163"/>
      <c r="R134" s="163"/>
      <c r="S134" s="163"/>
      <c r="T134" s="163"/>
      <c r="U134" s="163"/>
      <c r="V134" s="163"/>
      <c r="W134" s="163"/>
      <c r="X134" s="163"/>
      <c r="Y134" s="163"/>
      <c r="Z134" s="163"/>
      <c r="AA134" s="163"/>
      <c r="AB134" s="163"/>
      <c r="AC134" s="163"/>
      <c r="AD134" s="163"/>
      <c r="AE134" s="163"/>
      <c r="AF134" s="163"/>
      <c r="AG134" s="163"/>
      <c r="AH134" s="163"/>
      <c r="AI134" s="163"/>
      <c r="AJ134" s="163"/>
    </row>
    <row r="135" spans="2:36">
      <c r="B135" s="163"/>
      <c r="C135" s="163"/>
      <c r="D135" s="163"/>
      <c r="E135" s="163"/>
      <c r="F135" s="163"/>
      <c r="G135" s="163"/>
      <c r="H135" s="163"/>
      <c r="I135" s="163"/>
      <c r="J135" s="163"/>
      <c r="K135" s="163"/>
      <c r="L135" s="163"/>
      <c r="M135" s="163"/>
      <c r="N135" s="163"/>
      <c r="O135" s="163"/>
      <c r="P135" s="163"/>
      <c r="Q135" s="163"/>
      <c r="R135" s="163"/>
      <c r="S135" s="163"/>
      <c r="T135" s="163"/>
      <c r="U135" s="163"/>
      <c r="V135" s="163"/>
      <c r="W135" s="163"/>
      <c r="X135" s="163"/>
      <c r="Y135" s="163"/>
      <c r="Z135" s="163"/>
      <c r="AA135" s="163"/>
      <c r="AB135" s="163"/>
      <c r="AC135" s="163"/>
      <c r="AD135" s="163"/>
      <c r="AE135" s="163"/>
      <c r="AF135" s="163"/>
      <c r="AG135" s="163"/>
      <c r="AH135" s="163"/>
      <c r="AI135" s="163"/>
      <c r="AJ135" s="163"/>
    </row>
    <row r="136" spans="2:36">
      <c r="B136" s="163"/>
      <c r="C136" s="163"/>
      <c r="D136" s="163"/>
      <c r="E136" s="163"/>
      <c r="F136" s="163"/>
      <c r="G136" s="163"/>
      <c r="H136" s="163"/>
      <c r="I136" s="163"/>
      <c r="J136" s="163"/>
      <c r="K136" s="163"/>
      <c r="L136" s="163"/>
      <c r="M136" s="163"/>
      <c r="N136" s="163"/>
      <c r="O136" s="163"/>
      <c r="P136" s="163"/>
      <c r="Q136" s="163"/>
      <c r="R136" s="163"/>
      <c r="S136" s="163"/>
      <c r="T136" s="163"/>
      <c r="U136" s="163"/>
      <c r="V136" s="163"/>
      <c r="W136" s="163"/>
      <c r="X136" s="163"/>
      <c r="Y136" s="163"/>
      <c r="Z136" s="163"/>
      <c r="AA136" s="163"/>
      <c r="AB136" s="163"/>
      <c r="AC136" s="163"/>
      <c r="AD136" s="163"/>
      <c r="AE136" s="163"/>
      <c r="AF136" s="163"/>
      <c r="AG136" s="163"/>
      <c r="AH136" s="163"/>
      <c r="AI136" s="163"/>
      <c r="AJ136" s="163"/>
    </row>
    <row r="137" spans="2:36">
      <c r="B137" s="163"/>
      <c r="C137" s="163"/>
      <c r="D137" s="163"/>
      <c r="E137" s="163"/>
      <c r="F137" s="163"/>
      <c r="G137" s="163"/>
      <c r="H137" s="163"/>
      <c r="I137" s="163"/>
      <c r="J137" s="163"/>
      <c r="K137" s="163"/>
      <c r="L137" s="163"/>
      <c r="M137" s="163"/>
      <c r="N137" s="163"/>
      <c r="O137" s="163"/>
      <c r="P137" s="163"/>
      <c r="Q137" s="163"/>
      <c r="R137" s="163"/>
      <c r="S137" s="163"/>
      <c r="T137" s="163"/>
      <c r="U137" s="163"/>
      <c r="V137" s="163"/>
      <c r="W137" s="163"/>
      <c r="X137" s="163"/>
      <c r="Y137" s="163"/>
      <c r="Z137" s="163"/>
      <c r="AA137" s="163"/>
      <c r="AB137" s="163"/>
      <c r="AC137" s="163"/>
      <c r="AD137" s="163"/>
      <c r="AE137" s="163"/>
      <c r="AF137" s="163"/>
      <c r="AG137" s="163"/>
      <c r="AH137" s="163"/>
      <c r="AI137" s="163"/>
      <c r="AJ137" s="163"/>
    </row>
    <row r="138" spans="2:36">
      <c r="B138" s="163"/>
      <c r="C138" s="163"/>
      <c r="D138" s="163"/>
      <c r="E138" s="163"/>
      <c r="F138" s="163"/>
      <c r="G138" s="163"/>
      <c r="H138" s="163"/>
      <c r="I138" s="163"/>
      <c r="J138" s="163"/>
      <c r="K138" s="163"/>
      <c r="L138" s="163"/>
      <c r="M138" s="163"/>
      <c r="N138" s="163"/>
      <c r="O138" s="163"/>
      <c r="P138" s="163"/>
      <c r="Q138" s="163"/>
      <c r="R138" s="163"/>
      <c r="S138" s="163"/>
      <c r="T138" s="163"/>
      <c r="U138" s="163"/>
      <c r="V138" s="163"/>
      <c r="W138" s="163"/>
      <c r="X138" s="163"/>
      <c r="Y138" s="163"/>
      <c r="Z138" s="163"/>
      <c r="AA138" s="163"/>
      <c r="AB138" s="163"/>
      <c r="AC138" s="163"/>
      <c r="AD138" s="163"/>
      <c r="AE138" s="163"/>
      <c r="AF138" s="163"/>
      <c r="AG138" s="163"/>
      <c r="AH138" s="163"/>
      <c r="AI138" s="163"/>
      <c r="AJ138" s="163"/>
    </row>
    <row r="139" spans="2:36">
      <c r="B139" s="163"/>
      <c r="C139" s="163"/>
      <c r="D139" s="163"/>
      <c r="E139" s="163"/>
      <c r="F139" s="163"/>
      <c r="G139" s="163"/>
      <c r="H139" s="163"/>
      <c r="I139" s="163"/>
      <c r="J139" s="163"/>
      <c r="K139" s="163"/>
      <c r="L139" s="163"/>
      <c r="M139" s="163"/>
      <c r="N139" s="163"/>
      <c r="O139" s="163"/>
      <c r="P139" s="163"/>
      <c r="Q139" s="163"/>
      <c r="R139" s="163"/>
      <c r="S139" s="163"/>
      <c r="T139" s="163"/>
      <c r="U139" s="163"/>
      <c r="V139" s="163"/>
      <c r="W139" s="163"/>
      <c r="X139" s="163"/>
      <c r="Y139" s="163"/>
      <c r="Z139" s="163"/>
      <c r="AA139" s="163"/>
      <c r="AB139" s="163"/>
      <c r="AC139" s="163"/>
      <c r="AD139" s="163"/>
      <c r="AE139" s="163"/>
      <c r="AF139" s="163"/>
      <c r="AG139" s="163"/>
      <c r="AH139" s="163"/>
      <c r="AI139" s="163"/>
      <c r="AJ139" s="163"/>
    </row>
    <row r="140" spans="2:36">
      <c r="B140" s="163"/>
      <c r="C140" s="163"/>
      <c r="D140" s="163"/>
      <c r="E140" s="163"/>
      <c r="F140" s="163"/>
      <c r="G140" s="163"/>
      <c r="H140" s="163"/>
      <c r="I140" s="163"/>
      <c r="J140" s="163"/>
      <c r="K140" s="163"/>
      <c r="L140" s="163"/>
      <c r="M140" s="163"/>
      <c r="N140" s="163"/>
      <c r="O140" s="163"/>
      <c r="P140" s="163"/>
      <c r="Q140" s="163"/>
      <c r="R140" s="163"/>
      <c r="S140" s="163"/>
      <c r="T140" s="163"/>
      <c r="U140" s="163"/>
      <c r="V140" s="163"/>
      <c r="W140" s="163"/>
      <c r="X140" s="163"/>
      <c r="Y140" s="163"/>
      <c r="Z140" s="163"/>
      <c r="AA140" s="163"/>
      <c r="AB140" s="163"/>
      <c r="AC140" s="163"/>
      <c r="AD140" s="163"/>
      <c r="AE140" s="163"/>
      <c r="AF140" s="163"/>
      <c r="AG140" s="163"/>
      <c r="AH140" s="163"/>
      <c r="AI140" s="163"/>
      <c r="AJ140" s="163"/>
    </row>
    <row r="141" spans="2:36">
      <c r="B141" s="163"/>
      <c r="C141" s="163"/>
      <c r="D141" s="163"/>
      <c r="E141" s="163"/>
      <c r="F141" s="163"/>
      <c r="G141" s="163"/>
      <c r="H141" s="163"/>
      <c r="I141" s="163"/>
      <c r="J141" s="163"/>
      <c r="K141" s="163"/>
      <c r="L141" s="163"/>
      <c r="M141" s="163"/>
      <c r="N141" s="163"/>
      <c r="O141" s="163"/>
      <c r="P141" s="163"/>
      <c r="Q141" s="163"/>
      <c r="R141" s="163"/>
      <c r="S141" s="163"/>
      <c r="T141" s="163"/>
      <c r="U141" s="163"/>
      <c r="V141" s="163"/>
      <c r="W141" s="163"/>
      <c r="X141" s="163"/>
      <c r="Y141" s="163"/>
      <c r="Z141" s="163"/>
      <c r="AA141" s="163"/>
      <c r="AB141" s="163"/>
      <c r="AC141" s="163"/>
      <c r="AD141" s="163"/>
      <c r="AE141" s="163"/>
      <c r="AF141" s="163"/>
      <c r="AG141" s="163"/>
      <c r="AH141" s="163"/>
      <c r="AI141" s="163"/>
      <c r="AJ141" s="163"/>
    </row>
    <row r="142" spans="2:36">
      <c r="B142" s="163"/>
      <c r="C142" s="163"/>
      <c r="D142" s="163"/>
      <c r="E142" s="163"/>
      <c r="F142" s="163"/>
      <c r="G142" s="163"/>
      <c r="H142" s="163"/>
      <c r="I142" s="163"/>
      <c r="J142" s="163"/>
      <c r="K142" s="163"/>
      <c r="L142" s="163"/>
      <c r="M142" s="163"/>
      <c r="N142" s="163"/>
      <c r="O142" s="163"/>
      <c r="P142" s="163"/>
      <c r="Q142" s="163"/>
      <c r="R142" s="163"/>
      <c r="S142" s="163"/>
      <c r="T142" s="163"/>
      <c r="U142" s="163"/>
      <c r="V142" s="163"/>
      <c r="W142" s="163"/>
      <c r="X142" s="163"/>
      <c r="Y142" s="163"/>
      <c r="Z142" s="163"/>
      <c r="AA142" s="163"/>
      <c r="AB142" s="163"/>
      <c r="AC142" s="163"/>
      <c r="AD142" s="163"/>
      <c r="AE142" s="163"/>
      <c r="AF142" s="163"/>
      <c r="AG142" s="163"/>
      <c r="AH142" s="163"/>
      <c r="AI142" s="163"/>
      <c r="AJ142" s="163"/>
    </row>
    <row r="143" spans="2:36">
      <c r="B143" s="163"/>
      <c r="C143" s="163"/>
      <c r="D143" s="163"/>
      <c r="E143" s="163"/>
      <c r="F143" s="163"/>
      <c r="G143" s="163"/>
      <c r="H143" s="163"/>
      <c r="I143" s="163"/>
      <c r="J143" s="163"/>
      <c r="K143" s="163"/>
      <c r="L143" s="163"/>
      <c r="M143" s="163"/>
      <c r="N143" s="163"/>
      <c r="O143" s="163"/>
      <c r="P143" s="163"/>
      <c r="Q143" s="163"/>
      <c r="R143" s="163"/>
      <c r="S143" s="163"/>
      <c r="T143" s="163"/>
      <c r="U143" s="163"/>
      <c r="V143" s="163"/>
      <c r="W143" s="163"/>
      <c r="X143" s="163"/>
      <c r="Y143" s="163"/>
      <c r="Z143" s="163"/>
      <c r="AA143" s="163"/>
      <c r="AB143" s="163"/>
      <c r="AC143" s="163"/>
      <c r="AD143" s="163"/>
      <c r="AE143" s="163"/>
      <c r="AF143" s="163"/>
      <c r="AG143" s="163"/>
      <c r="AH143" s="163"/>
      <c r="AI143" s="163"/>
      <c r="AJ143" s="163"/>
    </row>
    <row r="144" spans="2:36">
      <c r="B144" s="163"/>
      <c r="C144" s="163"/>
      <c r="D144" s="163"/>
      <c r="E144" s="163"/>
      <c r="F144" s="163"/>
      <c r="G144" s="163"/>
      <c r="H144" s="163"/>
      <c r="I144" s="163"/>
      <c r="J144" s="163"/>
      <c r="K144" s="163"/>
      <c r="L144" s="163"/>
      <c r="M144" s="163"/>
      <c r="N144" s="163"/>
      <c r="O144" s="163"/>
      <c r="P144" s="163"/>
      <c r="Q144" s="163"/>
      <c r="R144" s="163"/>
      <c r="S144" s="163"/>
      <c r="T144" s="163"/>
      <c r="U144" s="163"/>
      <c r="V144" s="163"/>
      <c r="W144" s="163"/>
      <c r="X144" s="163"/>
      <c r="Y144" s="163"/>
      <c r="Z144" s="163"/>
      <c r="AA144" s="163"/>
      <c r="AB144" s="163"/>
      <c r="AC144" s="163"/>
      <c r="AD144" s="163"/>
      <c r="AE144" s="163"/>
      <c r="AF144" s="163"/>
      <c r="AG144" s="163"/>
      <c r="AH144" s="163"/>
      <c r="AI144" s="163"/>
      <c r="AJ144" s="163"/>
    </row>
    <row r="145" spans="2:36">
      <c r="B145" s="163"/>
      <c r="C145" s="163"/>
      <c r="D145" s="163"/>
      <c r="E145" s="163"/>
      <c r="F145" s="163"/>
      <c r="G145" s="163"/>
      <c r="H145" s="163"/>
      <c r="I145" s="163"/>
      <c r="J145" s="163"/>
      <c r="K145" s="163"/>
      <c r="L145" s="163"/>
      <c r="M145" s="163"/>
      <c r="N145" s="163"/>
      <c r="O145" s="163"/>
      <c r="P145" s="163"/>
      <c r="Q145" s="163"/>
      <c r="R145" s="163"/>
      <c r="S145" s="163"/>
      <c r="T145" s="163"/>
      <c r="U145" s="163"/>
      <c r="V145" s="163"/>
      <c r="W145" s="163"/>
      <c r="X145" s="163"/>
      <c r="Y145" s="163"/>
      <c r="Z145" s="163"/>
      <c r="AA145" s="163"/>
      <c r="AB145" s="163"/>
      <c r="AC145" s="163"/>
      <c r="AD145" s="163"/>
      <c r="AE145" s="163"/>
      <c r="AF145" s="163"/>
      <c r="AG145" s="163"/>
      <c r="AH145" s="163"/>
      <c r="AI145" s="163"/>
      <c r="AJ145" s="163"/>
    </row>
    <row r="146" spans="2:36">
      <c r="B146" s="163"/>
      <c r="C146" s="163"/>
      <c r="D146" s="163"/>
      <c r="E146" s="163"/>
      <c r="F146" s="163"/>
      <c r="G146" s="163"/>
      <c r="H146" s="163"/>
      <c r="I146" s="163"/>
      <c r="J146" s="163"/>
      <c r="K146" s="163"/>
      <c r="L146" s="163"/>
      <c r="M146" s="163"/>
      <c r="N146" s="163"/>
      <c r="O146" s="163"/>
      <c r="P146" s="163"/>
      <c r="Q146" s="163"/>
      <c r="R146" s="163"/>
      <c r="S146" s="163"/>
      <c r="T146" s="163"/>
      <c r="U146" s="163"/>
      <c r="V146" s="163"/>
      <c r="W146" s="163"/>
      <c r="X146" s="163"/>
      <c r="Y146" s="163"/>
      <c r="Z146" s="163"/>
      <c r="AA146" s="163"/>
      <c r="AB146" s="163"/>
      <c r="AC146" s="163"/>
      <c r="AD146" s="163"/>
      <c r="AE146" s="163"/>
      <c r="AF146" s="163"/>
      <c r="AG146" s="163"/>
      <c r="AH146" s="163"/>
      <c r="AI146" s="163"/>
      <c r="AJ146" s="163"/>
    </row>
    <row r="147" spans="2:36">
      <c r="B147" s="163"/>
      <c r="C147" s="163"/>
      <c r="D147" s="163"/>
      <c r="E147" s="163"/>
      <c r="F147" s="163"/>
      <c r="G147" s="163"/>
      <c r="H147" s="163"/>
      <c r="I147" s="163"/>
      <c r="J147" s="163"/>
      <c r="K147" s="163"/>
      <c r="L147" s="163"/>
      <c r="M147" s="163"/>
      <c r="N147" s="163"/>
      <c r="O147" s="163"/>
      <c r="P147" s="163"/>
      <c r="Q147" s="163"/>
      <c r="R147" s="163"/>
      <c r="S147" s="163"/>
      <c r="T147" s="163"/>
      <c r="U147" s="163"/>
      <c r="V147" s="163"/>
      <c r="W147" s="163"/>
      <c r="X147" s="163"/>
      <c r="Y147" s="163"/>
      <c r="Z147" s="163"/>
      <c r="AA147" s="163"/>
      <c r="AB147" s="163"/>
      <c r="AC147" s="163"/>
      <c r="AD147" s="163"/>
      <c r="AE147" s="163"/>
      <c r="AF147" s="163"/>
      <c r="AG147" s="163"/>
      <c r="AH147" s="163"/>
      <c r="AI147" s="163"/>
      <c r="AJ147" s="163"/>
    </row>
    <row r="148" spans="2:36">
      <c r="B148" s="163"/>
      <c r="C148" s="163"/>
      <c r="D148" s="163"/>
      <c r="E148" s="163"/>
      <c r="F148" s="163"/>
      <c r="G148" s="163"/>
      <c r="H148" s="163"/>
      <c r="I148" s="163"/>
      <c r="J148" s="163"/>
      <c r="K148" s="163"/>
      <c r="L148" s="163"/>
      <c r="M148" s="163"/>
      <c r="N148" s="163"/>
      <c r="O148" s="163"/>
      <c r="P148" s="163"/>
      <c r="Q148" s="163"/>
      <c r="R148" s="163"/>
      <c r="S148" s="163"/>
      <c r="T148" s="163"/>
      <c r="U148" s="163"/>
      <c r="V148" s="163"/>
      <c r="W148" s="163"/>
      <c r="X148" s="163"/>
      <c r="Y148" s="163"/>
      <c r="Z148" s="163"/>
      <c r="AA148" s="163"/>
      <c r="AB148" s="163"/>
      <c r="AC148" s="163"/>
      <c r="AD148" s="163"/>
      <c r="AE148" s="163"/>
      <c r="AF148" s="163"/>
      <c r="AG148" s="163"/>
      <c r="AH148" s="163"/>
      <c r="AI148" s="163"/>
      <c r="AJ148" s="163"/>
    </row>
    <row r="149" spans="2:36">
      <c r="B149" s="163"/>
      <c r="C149" s="163"/>
      <c r="D149" s="163"/>
      <c r="E149" s="163"/>
      <c r="F149" s="163"/>
      <c r="G149" s="163"/>
      <c r="H149" s="163"/>
      <c r="I149" s="163"/>
      <c r="J149" s="163"/>
      <c r="K149" s="163"/>
      <c r="L149" s="163"/>
      <c r="M149" s="163"/>
      <c r="N149" s="163"/>
      <c r="O149" s="163"/>
      <c r="P149" s="163"/>
      <c r="Q149" s="163"/>
      <c r="R149" s="163"/>
      <c r="S149" s="163"/>
      <c r="T149" s="163"/>
      <c r="U149" s="163"/>
      <c r="V149" s="163"/>
      <c r="W149" s="163"/>
      <c r="X149" s="163"/>
      <c r="Y149" s="163"/>
      <c r="Z149" s="163"/>
      <c r="AA149" s="163"/>
      <c r="AB149" s="163"/>
      <c r="AC149" s="163"/>
      <c r="AD149" s="163"/>
      <c r="AE149" s="163"/>
      <c r="AF149" s="163"/>
      <c r="AG149" s="163"/>
      <c r="AH149" s="163"/>
      <c r="AI149" s="163"/>
      <c r="AJ149" s="163"/>
    </row>
    <row r="150" spans="2:36">
      <c r="B150" s="163"/>
      <c r="C150" s="163"/>
      <c r="D150" s="163"/>
      <c r="E150" s="163"/>
      <c r="F150" s="163"/>
      <c r="G150" s="163"/>
      <c r="H150" s="163"/>
      <c r="I150" s="163"/>
      <c r="J150" s="163"/>
      <c r="K150" s="163"/>
      <c r="L150" s="163"/>
      <c r="M150" s="163"/>
      <c r="N150" s="163"/>
      <c r="O150" s="163"/>
      <c r="P150" s="163"/>
      <c r="Q150" s="163"/>
      <c r="R150" s="163"/>
      <c r="S150" s="163"/>
      <c r="T150" s="163"/>
      <c r="U150" s="163"/>
      <c r="V150" s="163"/>
      <c r="W150" s="163"/>
      <c r="X150" s="163"/>
      <c r="Y150" s="163"/>
      <c r="Z150" s="163"/>
      <c r="AA150" s="163"/>
      <c r="AB150" s="163"/>
      <c r="AC150" s="163"/>
      <c r="AD150" s="163"/>
      <c r="AE150" s="163"/>
      <c r="AF150" s="163"/>
      <c r="AG150" s="163"/>
      <c r="AH150" s="163"/>
      <c r="AI150" s="163"/>
      <c r="AJ150" s="163"/>
    </row>
    <row r="151" spans="2:36">
      <c r="B151" s="163"/>
      <c r="C151" s="163"/>
      <c r="D151" s="163"/>
      <c r="E151" s="163"/>
      <c r="F151" s="163"/>
      <c r="G151" s="163"/>
      <c r="H151" s="163"/>
      <c r="I151" s="163"/>
      <c r="J151" s="163"/>
      <c r="K151" s="163"/>
      <c r="L151" s="163"/>
      <c r="M151" s="163"/>
      <c r="N151" s="163"/>
      <c r="O151" s="163"/>
      <c r="P151" s="163"/>
      <c r="Q151" s="163"/>
      <c r="R151" s="163"/>
      <c r="S151" s="163"/>
      <c r="T151" s="163"/>
      <c r="U151" s="163"/>
      <c r="V151" s="163"/>
      <c r="W151" s="163"/>
      <c r="X151" s="163"/>
      <c r="Y151" s="163"/>
      <c r="Z151" s="163"/>
      <c r="AA151" s="163"/>
      <c r="AB151" s="163"/>
      <c r="AC151" s="163"/>
      <c r="AD151" s="163"/>
      <c r="AE151" s="163"/>
      <c r="AF151" s="163"/>
      <c r="AG151" s="163"/>
      <c r="AH151" s="163"/>
      <c r="AI151" s="163"/>
      <c r="AJ151" s="163"/>
    </row>
    <row r="152" spans="2:36">
      <c r="B152" s="163"/>
      <c r="C152" s="163"/>
      <c r="D152" s="163"/>
      <c r="E152" s="163"/>
      <c r="F152" s="163"/>
      <c r="G152" s="163"/>
      <c r="H152" s="163"/>
      <c r="I152" s="163"/>
      <c r="J152" s="163"/>
      <c r="K152" s="163"/>
      <c r="L152" s="163"/>
      <c r="M152" s="163"/>
      <c r="N152" s="163"/>
      <c r="O152" s="163"/>
      <c r="P152" s="163"/>
      <c r="Q152" s="163"/>
      <c r="R152" s="163"/>
      <c r="S152" s="163"/>
      <c r="T152" s="163"/>
      <c r="U152" s="163"/>
      <c r="V152" s="163"/>
      <c r="W152" s="163"/>
      <c r="X152" s="163"/>
      <c r="Y152" s="163"/>
      <c r="Z152" s="163"/>
      <c r="AA152" s="163"/>
      <c r="AB152" s="163"/>
      <c r="AC152" s="163"/>
      <c r="AD152" s="163"/>
      <c r="AE152" s="163"/>
      <c r="AF152" s="163"/>
      <c r="AG152" s="163"/>
      <c r="AH152" s="163"/>
      <c r="AI152" s="163"/>
      <c r="AJ152" s="163"/>
    </row>
    <row r="153" spans="2:36">
      <c r="B153" s="163"/>
      <c r="C153" s="163"/>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row>
    <row r="154" spans="2:36">
      <c r="B154" s="163"/>
      <c r="C154" s="163"/>
      <c r="D154" s="163"/>
      <c r="E154" s="163"/>
      <c r="F154" s="163"/>
      <c r="G154" s="163"/>
      <c r="H154" s="163"/>
      <c r="I154" s="163"/>
      <c r="J154" s="163"/>
      <c r="K154" s="163"/>
      <c r="L154" s="163"/>
      <c r="M154" s="163"/>
      <c r="N154" s="163"/>
      <c r="O154" s="163"/>
      <c r="P154" s="163"/>
      <c r="Q154" s="163"/>
      <c r="R154" s="163"/>
      <c r="S154" s="163"/>
      <c r="T154" s="163"/>
      <c r="U154" s="163"/>
      <c r="V154" s="163"/>
      <c r="W154" s="163"/>
      <c r="X154" s="163"/>
      <c r="Y154" s="163"/>
      <c r="Z154" s="163"/>
      <c r="AA154" s="163"/>
      <c r="AB154" s="163"/>
      <c r="AC154" s="163"/>
      <c r="AD154" s="163"/>
      <c r="AE154" s="163"/>
      <c r="AF154" s="163"/>
      <c r="AG154" s="163"/>
      <c r="AH154" s="163"/>
      <c r="AI154" s="163"/>
      <c r="AJ154" s="163"/>
    </row>
    <row r="155" spans="2:36">
      <c r="B155" s="163"/>
      <c r="C155" s="163"/>
      <c r="D155" s="163"/>
      <c r="E155" s="163"/>
      <c r="F155" s="163"/>
      <c r="G155" s="163"/>
      <c r="H155" s="163"/>
      <c r="I155" s="163"/>
      <c r="J155" s="163"/>
      <c r="K155" s="163"/>
      <c r="L155" s="163"/>
      <c r="M155" s="163"/>
      <c r="N155" s="163"/>
      <c r="O155" s="163"/>
      <c r="P155" s="163"/>
      <c r="Q155" s="163"/>
      <c r="R155" s="163"/>
      <c r="S155" s="163"/>
      <c r="T155" s="163"/>
      <c r="U155" s="163"/>
      <c r="V155" s="163"/>
      <c r="W155" s="163"/>
      <c r="X155" s="163"/>
      <c r="Y155" s="163"/>
      <c r="Z155" s="163"/>
      <c r="AA155" s="163"/>
      <c r="AB155" s="163"/>
      <c r="AC155" s="163"/>
      <c r="AD155" s="163"/>
      <c r="AE155" s="163"/>
      <c r="AF155" s="163"/>
      <c r="AG155" s="163"/>
      <c r="AH155" s="163"/>
      <c r="AI155" s="163"/>
      <c r="AJ155" s="163"/>
    </row>
    <row r="156" spans="2:36">
      <c r="B156" s="163"/>
      <c r="C156" s="163"/>
      <c r="D156" s="163"/>
      <c r="E156" s="163"/>
      <c r="F156" s="163"/>
      <c r="G156" s="163"/>
      <c r="H156" s="163"/>
      <c r="I156" s="163"/>
      <c r="J156" s="163"/>
      <c r="K156" s="163"/>
      <c r="L156" s="163"/>
      <c r="M156" s="163"/>
      <c r="N156" s="163"/>
      <c r="O156" s="163"/>
      <c r="P156" s="163"/>
      <c r="Q156" s="163"/>
      <c r="R156" s="163"/>
      <c r="S156" s="163"/>
      <c r="T156" s="163"/>
      <c r="U156" s="163"/>
      <c r="V156" s="163"/>
      <c r="W156" s="163"/>
      <c r="X156" s="163"/>
      <c r="Y156" s="163"/>
      <c r="Z156" s="163"/>
      <c r="AA156" s="163"/>
      <c r="AB156" s="163"/>
      <c r="AC156" s="163"/>
      <c r="AD156" s="163"/>
      <c r="AE156" s="163"/>
      <c r="AF156" s="163"/>
      <c r="AG156" s="163"/>
      <c r="AH156" s="163"/>
      <c r="AI156" s="163"/>
      <c r="AJ156" s="163"/>
    </row>
    <row r="157" spans="2:36">
      <c r="B157" s="163"/>
      <c r="C157" s="163"/>
      <c r="D157" s="163"/>
      <c r="E157" s="163"/>
      <c r="F157" s="163"/>
      <c r="G157" s="163"/>
      <c r="H157" s="163"/>
      <c r="I157" s="163"/>
      <c r="J157" s="163"/>
      <c r="K157" s="163"/>
      <c r="L157" s="163"/>
      <c r="M157" s="163"/>
      <c r="N157" s="163"/>
      <c r="O157" s="163"/>
      <c r="P157" s="163"/>
      <c r="Q157" s="163"/>
      <c r="R157" s="163"/>
      <c r="S157" s="163"/>
      <c r="T157" s="163"/>
      <c r="U157" s="163"/>
      <c r="V157" s="163"/>
      <c r="W157" s="163"/>
      <c r="X157" s="163"/>
      <c r="Y157" s="163"/>
      <c r="Z157" s="163"/>
      <c r="AA157" s="163"/>
      <c r="AB157" s="163"/>
      <c r="AC157" s="163"/>
      <c r="AD157" s="163"/>
      <c r="AE157" s="163"/>
      <c r="AF157" s="163"/>
      <c r="AG157" s="163"/>
      <c r="AH157" s="163"/>
      <c r="AI157" s="163"/>
      <c r="AJ157" s="163"/>
    </row>
    <row r="158" spans="2:36">
      <c r="B158" s="163"/>
      <c r="C158" s="163"/>
      <c r="D158" s="163"/>
      <c r="E158" s="163"/>
      <c r="F158" s="163"/>
      <c r="G158" s="163"/>
      <c r="H158" s="163"/>
      <c r="I158" s="163"/>
      <c r="J158" s="163"/>
      <c r="K158" s="163"/>
      <c r="L158" s="163"/>
      <c r="M158" s="163"/>
      <c r="N158" s="163"/>
      <c r="O158" s="163"/>
      <c r="P158" s="163"/>
      <c r="Q158" s="163"/>
      <c r="R158" s="163"/>
      <c r="S158" s="163"/>
      <c r="T158" s="163"/>
      <c r="U158" s="163"/>
      <c r="V158" s="163"/>
      <c r="W158" s="163"/>
      <c r="X158" s="163"/>
      <c r="Y158" s="163"/>
      <c r="Z158" s="163"/>
      <c r="AA158" s="163"/>
      <c r="AB158" s="163"/>
      <c r="AC158" s="163"/>
      <c r="AD158" s="163"/>
      <c r="AE158" s="163"/>
      <c r="AF158" s="163"/>
      <c r="AG158" s="163"/>
      <c r="AH158" s="163"/>
      <c r="AI158" s="163"/>
      <c r="AJ158" s="163"/>
    </row>
    <row r="159" spans="2:36">
      <c r="B159" s="163"/>
      <c r="C159" s="163"/>
      <c r="D159" s="163"/>
      <c r="E159" s="163"/>
      <c r="F159" s="163"/>
      <c r="G159" s="163"/>
      <c r="H159" s="163"/>
      <c r="I159" s="163"/>
      <c r="J159" s="163"/>
      <c r="K159" s="163"/>
      <c r="L159" s="163"/>
      <c r="M159" s="163"/>
      <c r="N159" s="163"/>
      <c r="O159" s="163"/>
      <c r="P159" s="163"/>
      <c r="Q159" s="163"/>
      <c r="R159" s="163"/>
      <c r="S159" s="163"/>
      <c r="T159" s="163"/>
      <c r="U159" s="163"/>
      <c r="V159" s="163"/>
      <c r="W159" s="163"/>
      <c r="X159" s="163"/>
      <c r="Y159" s="163"/>
      <c r="Z159" s="163"/>
      <c r="AA159" s="163"/>
      <c r="AB159" s="163"/>
      <c r="AC159" s="163"/>
      <c r="AD159" s="163"/>
      <c r="AE159" s="163"/>
      <c r="AF159" s="163"/>
      <c r="AG159" s="163"/>
      <c r="AH159" s="163"/>
      <c r="AI159" s="163"/>
      <c r="AJ159" s="163"/>
    </row>
    <row r="160" spans="2:36">
      <c r="B160" s="163"/>
      <c r="C160" s="163"/>
      <c r="D160" s="163"/>
      <c r="E160" s="163"/>
      <c r="F160" s="163"/>
      <c r="G160" s="163"/>
      <c r="H160" s="163"/>
      <c r="I160" s="163"/>
      <c r="J160" s="163"/>
      <c r="K160" s="163"/>
      <c r="L160" s="163"/>
      <c r="M160" s="163"/>
      <c r="N160" s="163"/>
      <c r="O160" s="163"/>
      <c r="P160" s="163"/>
      <c r="Q160" s="163"/>
      <c r="R160" s="163"/>
      <c r="S160" s="163"/>
      <c r="T160" s="163"/>
      <c r="U160" s="163"/>
      <c r="V160" s="163"/>
      <c r="W160" s="163"/>
      <c r="X160" s="163"/>
      <c r="Y160" s="163"/>
      <c r="Z160" s="163"/>
      <c r="AA160" s="163"/>
      <c r="AB160" s="163"/>
      <c r="AC160" s="163"/>
      <c r="AD160" s="163"/>
      <c r="AE160" s="163"/>
      <c r="AF160" s="163"/>
      <c r="AG160" s="163"/>
      <c r="AH160" s="163"/>
      <c r="AI160" s="163"/>
      <c r="AJ160" s="163"/>
    </row>
    <row r="161" spans="2:36">
      <c r="B161" s="163"/>
      <c r="C161" s="163"/>
      <c r="D161" s="163"/>
      <c r="E161" s="163"/>
      <c r="F161" s="163"/>
      <c r="G161" s="163"/>
      <c r="H161" s="163"/>
      <c r="I161" s="163"/>
      <c r="J161" s="163"/>
      <c r="K161" s="163"/>
      <c r="L161" s="163"/>
      <c r="M161" s="163"/>
      <c r="N161" s="163"/>
      <c r="O161" s="163"/>
      <c r="P161" s="163"/>
      <c r="Q161" s="163"/>
      <c r="R161" s="163"/>
      <c r="S161" s="163"/>
      <c r="T161" s="163"/>
      <c r="U161" s="163"/>
      <c r="V161" s="163"/>
      <c r="W161" s="163"/>
      <c r="X161" s="163"/>
      <c r="Y161" s="163"/>
      <c r="Z161" s="163"/>
      <c r="AA161" s="163"/>
      <c r="AB161" s="163"/>
      <c r="AC161" s="163"/>
      <c r="AD161" s="163"/>
      <c r="AE161" s="163"/>
      <c r="AF161" s="163"/>
      <c r="AG161" s="163"/>
      <c r="AH161" s="163"/>
      <c r="AI161" s="163"/>
      <c r="AJ161" s="163"/>
    </row>
    <row r="162" spans="2:36">
      <c r="B162" s="163"/>
      <c r="C162" s="163"/>
      <c r="D162" s="163"/>
      <c r="E162" s="163"/>
      <c r="F162" s="163"/>
      <c r="G162" s="163"/>
      <c r="H162" s="163"/>
      <c r="I162" s="163"/>
      <c r="J162" s="163"/>
      <c r="K162" s="163"/>
      <c r="L162" s="163"/>
      <c r="M162" s="163"/>
      <c r="N162" s="163"/>
      <c r="O162" s="163"/>
      <c r="P162" s="163"/>
      <c r="Q162" s="163"/>
      <c r="R162" s="163"/>
      <c r="S162" s="163"/>
      <c r="T162" s="163"/>
      <c r="U162" s="163"/>
      <c r="V162" s="163"/>
      <c r="W162" s="163"/>
      <c r="X162" s="163"/>
      <c r="Y162" s="163"/>
      <c r="Z162" s="163"/>
      <c r="AA162" s="163"/>
      <c r="AB162" s="163"/>
      <c r="AC162" s="163"/>
      <c r="AD162" s="163"/>
      <c r="AE162" s="163"/>
      <c r="AF162" s="163"/>
      <c r="AG162" s="163"/>
      <c r="AH162" s="163"/>
      <c r="AI162" s="163"/>
      <c r="AJ162" s="163"/>
    </row>
    <row r="163" spans="2:36">
      <c r="B163" s="163"/>
      <c r="C163" s="163"/>
      <c r="D163" s="163"/>
      <c r="E163" s="163"/>
      <c r="F163" s="163"/>
      <c r="G163" s="163"/>
      <c r="H163" s="163"/>
      <c r="I163" s="163"/>
      <c r="J163" s="163"/>
      <c r="K163" s="163"/>
      <c r="L163" s="163"/>
      <c r="M163" s="163"/>
      <c r="N163" s="163"/>
      <c r="O163" s="163"/>
      <c r="P163" s="163"/>
      <c r="Q163" s="163"/>
      <c r="R163" s="163"/>
      <c r="S163" s="163"/>
      <c r="T163" s="163"/>
      <c r="U163" s="163"/>
      <c r="V163" s="163"/>
      <c r="W163" s="163"/>
      <c r="X163" s="163"/>
      <c r="Y163" s="163"/>
      <c r="Z163" s="163"/>
      <c r="AA163" s="163"/>
      <c r="AB163" s="163"/>
      <c r="AC163" s="163"/>
      <c r="AD163" s="163"/>
      <c r="AE163" s="163"/>
      <c r="AF163" s="163"/>
      <c r="AG163" s="163"/>
      <c r="AH163" s="163"/>
      <c r="AI163" s="163"/>
      <c r="AJ163" s="163"/>
    </row>
    <row r="164" spans="2:36">
      <c r="B164" s="163"/>
      <c r="C164" s="163"/>
      <c r="D164" s="163"/>
      <c r="E164" s="163"/>
      <c r="F164" s="163"/>
      <c r="G164" s="163"/>
      <c r="H164" s="163"/>
      <c r="I164" s="163"/>
      <c r="J164" s="163"/>
      <c r="K164" s="163"/>
      <c r="L164" s="163"/>
      <c r="M164" s="163"/>
      <c r="N164" s="163"/>
      <c r="O164" s="163"/>
      <c r="P164" s="163"/>
      <c r="Q164" s="163"/>
      <c r="R164" s="163"/>
      <c r="S164" s="163"/>
      <c r="T164" s="163"/>
      <c r="U164" s="163"/>
      <c r="V164" s="163"/>
      <c r="W164" s="163"/>
      <c r="X164" s="163"/>
      <c r="Y164" s="163"/>
      <c r="Z164" s="163"/>
      <c r="AA164" s="163"/>
      <c r="AB164" s="163"/>
      <c r="AC164" s="163"/>
      <c r="AD164" s="163"/>
      <c r="AE164" s="163"/>
      <c r="AF164" s="163"/>
      <c r="AG164" s="163"/>
      <c r="AH164" s="163"/>
      <c r="AI164" s="163"/>
      <c r="AJ164" s="163"/>
    </row>
    <row r="165" spans="2:36">
      <c r="B165" s="163"/>
      <c r="C165" s="163"/>
      <c r="D165" s="163"/>
      <c r="E165" s="163"/>
      <c r="F165" s="163"/>
      <c r="G165" s="163"/>
      <c r="H165" s="163"/>
      <c r="I165" s="163"/>
      <c r="J165" s="163"/>
      <c r="K165" s="163"/>
      <c r="L165" s="163"/>
      <c r="M165" s="163"/>
      <c r="N165" s="163"/>
      <c r="O165" s="163"/>
      <c r="P165" s="163"/>
      <c r="Q165" s="163"/>
      <c r="R165" s="163"/>
      <c r="S165" s="163"/>
      <c r="T165" s="163"/>
      <c r="U165" s="163"/>
      <c r="V165" s="163"/>
      <c r="W165" s="163"/>
      <c r="X165" s="163"/>
      <c r="Y165" s="163"/>
      <c r="Z165" s="163"/>
      <c r="AA165" s="163"/>
      <c r="AB165" s="163"/>
      <c r="AC165" s="163"/>
      <c r="AD165" s="163"/>
      <c r="AE165" s="163"/>
      <c r="AF165" s="163"/>
      <c r="AG165" s="163"/>
      <c r="AH165" s="163"/>
      <c r="AI165" s="163"/>
      <c r="AJ165" s="163"/>
    </row>
    <row r="166" spans="2:36">
      <c r="B166" s="163"/>
      <c r="C166" s="163"/>
      <c r="D166" s="163"/>
      <c r="E166" s="163"/>
      <c r="F166" s="163"/>
      <c r="G166" s="163"/>
      <c r="H166" s="163"/>
      <c r="I166" s="163"/>
      <c r="J166" s="163"/>
      <c r="K166" s="163"/>
      <c r="L166" s="163"/>
      <c r="M166" s="163"/>
      <c r="N166" s="163"/>
      <c r="O166" s="163"/>
      <c r="P166" s="163"/>
      <c r="Q166" s="163"/>
      <c r="R166" s="163"/>
      <c r="S166" s="163"/>
      <c r="T166" s="163"/>
      <c r="U166" s="163"/>
      <c r="V166" s="163"/>
      <c r="W166" s="163"/>
      <c r="X166" s="163"/>
      <c r="Y166" s="163"/>
      <c r="Z166" s="163"/>
      <c r="AA166" s="163"/>
      <c r="AB166" s="163"/>
      <c r="AC166" s="163"/>
      <c r="AD166" s="163"/>
      <c r="AE166" s="163"/>
      <c r="AF166" s="163"/>
      <c r="AG166" s="163"/>
      <c r="AH166" s="163"/>
      <c r="AI166" s="163"/>
      <c r="AJ166" s="163"/>
    </row>
    <row r="167" spans="2:36">
      <c r="B167" s="163"/>
      <c r="C167" s="163"/>
      <c r="D167" s="163"/>
      <c r="E167" s="163"/>
      <c r="F167" s="163"/>
      <c r="G167" s="163"/>
      <c r="H167" s="163"/>
      <c r="I167" s="163"/>
      <c r="J167" s="163"/>
      <c r="K167" s="163"/>
      <c r="L167" s="163"/>
      <c r="M167" s="163"/>
      <c r="N167" s="163"/>
      <c r="O167" s="163"/>
      <c r="P167" s="163"/>
      <c r="Q167" s="163"/>
      <c r="R167" s="163"/>
      <c r="S167" s="163"/>
      <c r="T167" s="163"/>
      <c r="U167" s="163"/>
      <c r="V167" s="163"/>
      <c r="W167" s="163"/>
      <c r="X167" s="163"/>
      <c r="Y167" s="163"/>
      <c r="Z167" s="163"/>
      <c r="AA167" s="163"/>
      <c r="AB167" s="163"/>
      <c r="AC167" s="163"/>
      <c r="AD167" s="163"/>
      <c r="AE167" s="163"/>
      <c r="AF167" s="163"/>
      <c r="AG167" s="163"/>
      <c r="AH167" s="163"/>
      <c r="AI167" s="163"/>
      <c r="AJ167" s="163"/>
    </row>
    <row r="168" spans="2:36">
      <c r="B168" s="163"/>
      <c r="C168" s="163"/>
      <c r="D168" s="163"/>
      <c r="E168" s="163"/>
      <c r="F168" s="163"/>
      <c r="G168" s="163"/>
      <c r="H168" s="163"/>
      <c r="I168" s="163"/>
      <c r="J168" s="163"/>
      <c r="K168" s="163"/>
      <c r="L168" s="163"/>
      <c r="M168" s="163"/>
      <c r="N168" s="163"/>
      <c r="O168" s="163"/>
      <c r="P168" s="163"/>
      <c r="Q168" s="163"/>
      <c r="R168" s="163"/>
      <c r="S168" s="163"/>
      <c r="T168" s="163"/>
      <c r="U168" s="163"/>
      <c r="V168" s="163"/>
      <c r="W168" s="163"/>
      <c r="X168" s="163"/>
      <c r="Y168" s="163"/>
      <c r="Z168" s="163"/>
      <c r="AA168" s="163"/>
      <c r="AB168" s="163"/>
      <c r="AC168" s="163"/>
      <c r="AD168" s="163"/>
      <c r="AE168" s="163"/>
      <c r="AF168" s="163"/>
      <c r="AG168" s="163"/>
      <c r="AH168" s="163"/>
      <c r="AI168" s="163"/>
      <c r="AJ168" s="163"/>
    </row>
    <row r="169" spans="2:36">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row>
    <row r="170" spans="2:36">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row>
    <row r="171" spans="2:36">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row>
    <row r="172" spans="2:36">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row>
    <row r="173" spans="2:36">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row>
    <row r="174" spans="2:36">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row>
    <row r="175" spans="2:36">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row>
    <row r="176" spans="2:36">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row>
    <row r="177" spans="2:36">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row>
    <row r="178" spans="2:36">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row>
    <row r="179" spans="2:36">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row>
    <row r="180" spans="2:36">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row>
    <row r="181" spans="2:36">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row>
    <row r="182" spans="2:36">
      <c r="B182" s="163"/>
      <c r="C182" s="163"/>
      <c r="D182" s="163"/>
      <c r="E182" s="163"/>
      <c r="F182" s="163"/>
      <c r="G182" s="163"/>
      <c r="H182" s="163"/>
      <c r="I182" s="163"/>
      <c r="J182" s="163"/>
      <c r="K182" s="163"/>
      <c r="L182" s="163"/>
      <c r="M182" s="163"/>
      <c r="N182" s="163"/>
      <c r="O182" s="163"/>
      <c r="P182" s="163"/>
      <c r="Q182" s="163"/>
      <c r="R182" s="163"/>
      <c r="S182" s="163"/>
      <c r="T182" s="163"/>
      <c r="U182" s="163"/>
      <c r="V182" s="163"/>
      <c r="W182" s="163"/>
      <c r="X182" s="163"/>
      <c r="Y182" s="163"/>
      <c r="Z182" s="163"/>
      <c r="AA182" s="163"/>
      <c r="AB182" s="163"/>
      <c r="AC182" s="163"/>
      <c r="AD182" s="163"/>
      <c r="AE182" s="163"/>
      <c r="AF182" s="163"/>
      <c r="AG182" s="163"/>
      <c r="AH182" s="163"/>
      <c r="AI182" s="163"/>
      <c r="AJ182" s="163"/>
    </row>
    <row r="183" spans="2:36">
      <c r="B183" s="163"/>
      <c r="C183" s="163"/>
      <c r="D183" s="163"/>
      <c r="E183" s="163"/>
      <c r="F183" s="163"/>
      <c r="G183" s="163"/>
      <c r="H183" s="163"/>
      <c r="I183" s="163"/>
      <c r="J183" s="163"/>
      <c r="K183" s="163"/>
      <c r="L183" s="163"/>
      <c r="M183" s="163"/>
      <c r="N183" s="163"/>
      <c r="O183" s="163"/>
      <c r="P183" s="163"/>
      <c r="Q183" s="163"/>
      <c r="R183" s="163"/>
      <c r="S183" s="163"/>
      <c r="T183" s="163"/>
      <c r="U183" s="163"/>
      <c r="V183" s="163"/>
      <c r="W183" s="163"/>
      <c r="X183" s="163"/>
      <c r="Y183" s="163"/>
      <c r="Z183" s="163"/>
      <c r="AA183" s="163"/>
      <c r="AB183" s="163"/>
      <c r="AC183" s="163"/>
      <c r="AD183" s="163"/>
      <c r="AE183" s="163"/>
      <c r="AF183" s="163"/>
      <c r="AG183" s="163"/>
      <c r="AH183" s="163"/>
      <c r="AI183" s="163"/>
      <c r="AJ183" s="163"/>
    </row>
    <row r="184" spans="2:36">
      <c r="B184" s="163"/>
      <c r="C184" s="163"/>
      <c r="D184" s="163"/>
      <c r="E184" s="163"/>
      <c r="F184" s="163"/>
      <c r="G184" s="163"/>
      <c r="H184" s="163"/>
      <c r="I184" s="163"/>
      <c r="J184" s="163"/>
      <c r="K184" s="163"/>
      <c r="L184" s="163"/>
      <c r="M184" s="163"/>
      <c r="N184" s="163"/>
      <c r="O184" s="163"/>
      <c r="P184" s="163"/>
      <c r="Q184" s="163"/>
      <c r="R184" s="163"/>
      <c r="S184" s="163"/>
      <c r="T184" s="163"/>
      <c r="U184" s="163"/>
      <c r="V184" s="163"/>
      <c r="W184" s="163"/>
      <c r="X184" s="163"/>
      <c r="Y184" s="163"/>
      <c r="Z184" s="163"/>
      <c r="AA184" s="163"/>
      <c r="AB184" s="163"/>
      <c r="AC184" s="163"/>
      <c r="AD184" s="163"/>
      <c r="AE184" s="163"/>
      <c r="AF184" s="163"/>
      <c r="AG184" s="163"/>
      <c r="AH184" s="163"/>
      <c r="AI184" s="163"/>
      <c r="AJ184" s="163"/>
    </row>
    <row r="185" spans="2:36">
      <c r="B185" s="163"/>
      <c r="C185" s="163"/>
      <c r="D185" s="163"/>
      <c r="E185" s="163"/>
      <c r="F185" s="163"/>
      <c r="G185" s="163"/>
      <c r="H185" s="163"/>
      <c r="I185" s="163"/>
      <c r="J185" s="163"/>
      <c r="K185" s="163"/>
      <c r="L185" s="163"/>
      <c r="M185" s="163"/>
      <c r="N185" s="163"/>
      <c r="O185" s="163"/>
      <c r="P185" s="163"/>
      <c r="Q185" s="163"/>
      <c r="R185" s="163"/>
      <c r="S185" s="163"/>
      <c r="T185" s="163"/>
      <c r="U185" s="163"/>
      <c r="V185" s="163"/>
      <c r="W185" s="163"/>
      <c r="X185" s="163"/>
      <c r="Y185" s="163"/>
      <c r="Z185" s="163"/>
      <c r="AA185" s="163"/>
      <c r="AB185" s="163"/>
      <c r="AC185" s="163"/>
      <c r="AD185" s="163"/>
      <c r="AE185" s="163"/>
      <c r="AF185" s="163"/>
      <c r="AG185" s="163"/>
      <c r="AH185" s="163"/>
      <c r="AI185" s="163"/>
      <c r="AJ185" s="163"/>
    </row>
    <row r="186" spans="2:36">
      <c r="B186" s="163"/>
      <c r="C186" s="163"/>
      <c r="D186" s="163"/>
      <c r="E186" s="163"/>
      <c r="F186" s="163"/>
      <c r="G186" s="163"/>
      <c r="H186" s="163"/>
      <c r="I186" s="163"/>
      <c r="J186" s="163"/>
      <c r="K186" s="163"/>
      <c r="L186" s="163"/>
      <c r="M186" s="163"/>
      <c r="N186" s="163"/>
      <c r="O186" s="163"/>
      <c r="P186" s="163"/>
      <c r="Q186" s="163"/>
      <c r="R186" s="163"/>
      <c r="S186" s="163"/>
      <c r="T186" s="163"/>
      <c r="U186" s="163"/>
      <c r="V186" s="163"/>
      <c r="W186" s="163"/>
      <c r="X186" s="163"/>
      <c r="Y186" s="163"/>
      <c r="Z186" s="163"/>
      <c r="AA186" s="163"/>
      <c r="AB186" s="163"/>
      <c r="AC186" s="163"/>
      <c r="AD186" s="163"/>
      <c r="AE186" s="163"/>
      <c r="AF186" s="163"/>
      <c r="AG186" s="163"/>
      <c r="AH186" s="163"/>
      <c r="AI186" s="163"/>
      <c r="AJ186" s="163"/>
    </row>
    <row r="187" spans="2:36">
      <c r="B187" s="163"/>
      <c r="C187" s="163"/>
      <c r="D187" s="163"/>
      <c r="E187" s="163"/>
      <c r="F187" s="163"/>
      <c r="G187" s="163"/>
      <c r="H187" s="163"/>
      <c r="I187" s="163"/>
      <c r="J187" s="163"/>
      <c r="K187" s="163"/>
      <c r="L187" s="163"/>
      <c r="M187" s="163"/>
      <c r="N187" s="163"/>
      <c r="O187" s="163"/>
      <c r="P187" s="163"/>
      <c r="Q187" s="163"/>
      <c r="R187" s="163"/>
      <c r="S187" s="163"/>
      <c r="T187" s="163"/>
      <c r="U187" s="163"/>
      <c r="V187" s="163"/>
      <c r="W187" s="163"/>
      <c r="X187" s="163"/>
      <c r="Y187" s="163"/>
      <c r="Z187" s="163"/>
      <c r="AA187" s="163"/>
      <c r="AB187" s="163"/>
      <c r="AC187" s="163"/>
      <c r="AD187" s="163"/>
      <c r="AE187" s="163"/>
      <c r="AF187" s="163"/>
      <c r="AG187" s="163"/>
      <c r="AH187" s="163"/>
      <c r="AI187" s="163"/>
      <c r="AJ187" s="163"/>
    </row>
    <row r="188" spans="2:36">
      <c r="B188" s="163"/>
      <c r="C188" s="163"/>
      <c r="D188" s="163"/>
      <c r="E188" s="163"/>
      <c r="F188" s="163"/>
      <c r="G188" s="163"/>
      <c r="H188" s="163"/>
      <c r="I188" s="163"/>
      <c r="J188" s="163"/>
      <c r="K188" s="163"/>
      <c r="L188" s="163"/>
      <c r="M188" s="163"/>
      <c r="N188" s="163"/>
      <c r="O188" s="163"/>
      <c r="P188" s="163"/>
      <c r="Q188" s="163"/>
      <c r="R188" s="163"/>
      <c r="S188" s="163"/>
      <c r="T188" s="163"/>
      <c r="U188" s="163"/>
      <c r="V188" s="163"/>
      <c r="W188" s="163"/>
      <c r="X188" s="163"/>
      <c r="Y188" s="163"/>
      <c r="Z188" s="163"/>
      <c r="AA188" s="163"/>
      <c r="AB188" s="163"/>
      <c r="AC188" s="163"/>
      <c r="AD188" s="163"/>
      <c r="AE188" s="163"/>
      <c r="AF188" s="163"/>
      <c r="AG188" s="163"/>
      <c r="AH188" s="163"/>
      <c r="AI188" s="163"/>
      <c r="AJ188" s="163"/>
    </row>
    <row r="189" spans="2:36">
      <c r="B189" s="163"/>
      <c r="C189" s="163"/>
      <c r="D189" s="163"/>
      <c r="E189" s="163"/>
      <c r="F189" s="163"/>
      <c r="G189" s="163"/>
      <c r="H189" s="163"/>
      <c r="I189" s="163"/>
      <c r="J189" s="163"/>
      <c r="K189" s="163"/>
      <c r="L189" s="163"/>
      <c r="M189" s="163"/>
      <c r="N189" s="163"/>
      <c r="O189" s="163"/>
      <c r="P189" s="163"/>
      <c r="Q189" s="163"/>
      <c r="R189" s="163"/>
      <c r="S189" s="163"/>
      <c r="T189" s="163"/>
      <c r="U189" s="163"/>
      <c r="V189" s="163"/>
      <c r="W189" s="163"/>
      <c r="X189" s="163"/>
      <c r="Y189" s="163"/>
      <c r="Z189" s="163"/>
      <c r="AA189" s="163"/>
      <c r="AB189" s="163"/>
      <c r="AC189" s="163"/>
      <c r="AD189" s="163"/>
      <c r="AE189" s="163"/>
      <c r="AF189" s="163"/>
      <c r="AG189" s="163"/>
      <c r="AH189" s="163"/>
      <c r="AI189" s="163"/>
      <c r="AJ189" s="163"/>
    </row>
    <row r="190" spans="2:36">
      <c r="B190" s="163"/>
      <c r="C190" s="163"/>
      <c r="D190" s="163"/>
      <c r="E190" s="163"/>
      <c r="F190" s="163"/>
      <c r="G190" s="163"/>
      <c r="H190" s="163"/>
      <c r="I190" s="163"/>
      <c r="J190" s="163"/>
      <c r="K190" s="163"/>
      <c r="L190" s="163"/>
      <c r="M190" s="163"/>
      <c r="N190" s="163"/>
      <c r="O190" s="163"/>
      <c r="P190" s="163"/>
      <c r="Q190" s="163"/>
      <c r="R190" s="163"/>
      <c r="S190" s="163"/>
      <c r="T190" s="163"/>
      <c r="U190" s="163"/>
      <c r="V190" s="163"/>
      <c r="W190" s="163"/>
      <c r="X190" s="163"/>
      <c r="Y190" s="163"/>
      <c r="Z190" s="163"/>
      <c r="AA190" s="163"/>
      <c r="AB190" s="163"/>
      <c r="AC190" s="163"/>
      <c r="AD190" s="163"/>
      <c r="AE190" s="163"/>
      <c r="AF190" s="163"/>
      <c r="AG190" s="163"/>
      <c r="AH190" s="163"/>
      <c r="AI190" s="163"/>
      <c r="AJ190" s="163"/>
    </row>
    <row r="191" spans="2:36">
      <c r="B191" s="163"/>
      <c r="C191" s="163"/>
      <c r="D191" s="163"/>
      <c r="E191" s="163"/>
      <c r="F191" s="163"/>
      <c r="G191" s="163"/>
      <c r="H191" s="163"/>
      <c r="I191" s="163"/>
      <c r="J191" s="163"/>
      <c r="K191" s="163"/>
      <c r="L191" s="163"/>
      <c r="M191" s="163"/>
      <c r="N191" s="163"/>
      <c r="O191" s="163"/>
      <c r="P191" s="163"/>
      <c r="Q191" s="163"/>
      <c r="R191" s="163"/>
      <c r="S191" s="163"/>
      <c r="T191" s="163"/>
      <c r="U191" s="163"/>
      <c r="V191" s="163"/>
      <c r="W191" s="163"/>
      <c r="X191" s="163"/>
      <c r="Y191" s="163"/>
      <c r="Z191" s="163"/>
      <c r="AA191" s="163"/>
      <c r="AB191" s="163"/>
      <c r="AC191" s="163"/>
      <c r="AD191" s="163"/>
      <c r="AE191" s="163"/>
      <c r="AF191" s="163"/>
      <c r="AG191" s="163"/>
      <c r="AH191" s="163"/>
      <c r="AI191" s="163"/>
      <c r="AJ191" s="163"/>
    </row>
    <row r="192" spans="2:36">
      <c r="B192" s="163"/>
      <c r="C192" s="163"/>
      <c r="D192" s="163"/>
      <c r="E192" s="163"/>
      <c r="F192" s="163"/>
      <c r="G192" s="163"/>
      <c r="H192" s="163"/>
      <c r="I192" s="163"/>
      <c r="J192" s="163"/>
      <c r="K192" s="163"/>
      <c r="L192" s="163"/>
      <c r="M192" s="163"/>
      <c r="N192" s="163"/>
      <c r="O192" s="163"/>
      <c r="P192" s="163"/>
      <c r="Q192" s="163"/>
      <c r="R192" s="163"/>
      <c r="S192" s="163"/>
      <c r="T192" s="163"/>
      <c r="U192" s="163"/>
      <c r="V192" s="163"/>
      <c r="W192" s="163"/>
      <c r="X192" s="163"/>
      <c r="Y192" s="163"/>
      <c r="Z192" s="163"/>
      <c r="AA192" s="163"/>
      <c r="AB192" s="163"/>
      <c r="AC192" s="163"/>
      <c r="AD192" s="163"/>
      <c r="AE192" s="163"/>
      <c r="AF192" s="163"/>
      <c r="AG192" s="163"/>
      <c r="AH192" s="163"/>
      <c r="AI192" s="163"/>
      <c r="AJ192" s="163"/>
    </row>
    <row r="193" spans="2:36">
      <c r="B193" s="163"/>
      <c r="C193" s="163"/>
      <c r="D193" s="163"/>
      <c r="E193" s="163"/>
      <c r="F193" s="163"/>
      <c r="G193" s="163"/>
      <c r="H193" s="163"/>
      <c r="I193" s="163"/>
      <c r="J193" s="163"/>
      <c r="K193" s="163"/>
      <c r="L193" s="163"/>
      <c r="M193" s="163"/>
      <c r="N193" s="163"/>
      <c r="O193" s="163"/>
      <c r="P193" s="163"/>
      <c r="Q193" s="163"/>
      <c r="R193" s="163"/>
      <c r="S193" s="163"/>
      <c r="T193" s="163"/>
      <c r="U193" s="163"/>
      <c r="V193" s="163"/>
      <c r="W193" s="163"/>
      <c r="X193" s="163"/>
      <c r="Y193" s="163"/>
      <c r="Z193" s="163"/>
      <c r="AA193" s="163"/>
      <c r="AB193" s="163"/>
      <c r="AC193" s="163"/>
      <c r="AD193" s="163"/>
      <c r="AE193" s="163"/>
      <c r="AF193" s="163"/>
      <c r="AG193" s="163"/>
      <c r="AH193" s="163"/>
      <c r="AI193" s="163"/>
      <c r="AJ193" s="163"/>
    </row>
    <row r="194" spans="2:36">
      <c r="B194" s="163"/>
      <c r="C194" s="163"/>
      <c r="D194" s="163"/>
      <c r="E194" s="163"/>
      <c r="F194" s="163"/>
      <c r="G194" s="163"/>
      <c r="H194" s="163"/>
      <c r="I194" s="163"/>
      <c r="J194" s="163"/>
      <c r="K194" s="163"/>
      <c r="L194" s="163"/>
      <c r="M194" s="163"/>
      <c r="N194" s="163"/>
      <c r="O194" s="163"/>
      <c r="P194" s="163"/>
      <c r="Q194" s="163"/>
      <c r="R194" s="163"/>
      <c r="S194" s="163"/>
      <c r="T194" s="163"/>
      <c r="U194" s="163"/>
      <c r="V194" s="163"/>
      <c r="W194" s="163"/>
      <c r="X194" s="163"/>
      <c r="Y194" s="163"/>
      <c r="Z194" s="163"/>
      <c r="AA194" s="163"/>
      <c r="AB194" s="163"/>
      <c r="AC194" s="163"/>
      <c r="AD194" s="163"/>
      <c r="AE194" s="163"/>
      <c r="AF194" s="163"/>
      <c r="AG194" s="163"/>
      <c r="AH194" s="163"/>
      <c r="AI194" s="163"/>
      <c r="AJ194" s="163"/>
    </row>
    <row r="195" spans="2:36">
      <c r="B195" s="163"/>
      <c r="C195" s="163"/>
      <c r="D195" s="163"/>
      <c r="E195" s="163"/>
      <c r="F195" s="163"/>
      <c r="G195" s="163"/>
      <c r="H195" s="163"/>
      <c r="I195" s="163"/>
      <c r="J195" s="163"/>
      <c r="K195" s="163"/>
      <c r="L195" s="163"/>
      <c r="M195" s="163"/>
      <c r="N195" s="163"/>
      <c r="O195" s="163"/>
      <c r="P195" s="163"/>
      <c r="Q195" s="163"/>
      <c r="R195" s="163"/>
      <c r="S195" s="163"/>
      <c r="T195" s="163"/>
      <c r="U195" s="163"/>
      <c r="V195" s="163"/>
      <c r="W195" s="163"/>
      <c r="X195" s="163"/>
      <c r="Y195" s="163"/>
      <c r="Z195" s="163"/>
      <c r="AA195" s="163"/>
      <c r="AB195" s="163"/>
      <c r="AC195" s="163"/>
      <c r="AD195" s="163"/>
      <c r="AE195" s="163"/>
      <c r="AF195" s="163"/>
      <c r="AG195" s="163"/>
      <c r="AH195" s="163"/>
      <c r="AI195" s="163"/>
      <c r="AJ195" s="163"/>
    </row>
    <row r="196" spans="2:36">
      <c r="B196" s="163"/>
      <c r="C196" s="163"/>
      <c r="D196" s="163"/>
      <c r="E196" s="163"/>
      <c r="F196" s="163"/>
      <c r="G196" s="163"/>
      <c r="H196" s="163"/>
      <c r="I196" s="163"/>
      <c r="J196" s="163"/>
      <c r="K196" s="163"/>
      <c r="L196" s="163"/>
      <c r="M196" s="163"/>
      <c r="N196" s="163"/>
      <c r="O196" s="163"/>
      <c r="P196" s="163"/>
      <c r="Q196" s="163"/>
      <c r="R196" s="163"/>
      <c r="S196" s="163"/>
      <c r="T196" s="163"/>
      <c r="U196" s="163"/>
      <c r="V196" s="163"/>
      <c r="W196" s="163"/>
      <c r="X196" s="163"/>
      <c r="Y196" s="163"/>
      <c r="Z196" s="163"/>
      <c r="AA196" s="163"/>
      <c r="AB196" s="163"/>
      <c r="AC196" s="163"/>
      <c r="AD196" s="163"/>
      <c r="AE196" s="163"/>
      <c r="AF196" s="163"/>
      <c r="AG196" s="163"/>
      <c r="AH196" s="163"/>
      <c r="AI196" s="163"/>
      <c r="AJ196" s="163"/>
    </row>
    <row r="197" spans="2:36">
      <c r="B197" s="163"/>
      <c r="C197" s="163"/>
      <c r="D197" s="163"/>
      <c r="E197" s="163"/>
      <c r="F197" s="163"/>
      <c r="G197" s="163"/>
      <c r="H197" s="163"/>
      <c r="I197" s="163"/>
      <c r="J197" s="163"/>
      <c r="K197" s="163"/>
      <c r="L197" s="163"/>
      <c r="M197" s="163"/>
      <c r="N197" s="163"/>
      <c r="O197" s="163"/>
      <c r="P197" s="163"/>
      <c r="Q197" s="163"/>
      <c r="R197" s="163"/>
      <c r="S197" s="163"/>
      <c r="T197" s="163"/>
      <c r="U197" s="163"/>
      <c r="V197" s="163"/>
      <c r="W197" s="163"/>
      <c r="X197" s="163"/>
      <c r="Y197" s="163"/>
      <c r="Z197" s="163"/>
      <c r="AA197" s="163"/>
      <c r="AB197" s="163"/>
      <c r="AC197" s="163"/>
      <c r="AD197" s="163"/>
      <c r="AE197" s="163"/>
      <c r="AF197" s="163"/>
      <c r="AG197" s="163"/>
      <c r="AH197" s="163"/>
      <c r="AI197" s="163"/>
      <c r="AJ197" s="163"/>
    </row>
    <row r="198" spans="2:36">
      <c r="B198" s="163"/>
      <c r="C198" s="163"/>
      <c r="D198" s="163"/>
      <c r="E198" s="163"/>
      <c r="F198" s="163"/>
      <c r="G198" s="163"/>
      <c r="H198" s="163"/>
      <c r="I198" s="163"/>
      <c r="J198" s="163"/>
      <c r="K198" s="163"/>
      <c r="L198" s="163"/>
      <c r="M198" s="163"/>
      <c r="N198" s="163"/>
      <c r="O198" s="163"/>
      <c r="P198" s="163"/>
      <c r="Q198" s="163"/>
      <c r="R198" s="163"/>
      <c r="S198" s="163"/>
      <c r="T198" s="163"/>
      <c r="U198" s="163"/>
      <c r="V198" s="163"/>
      <c r="W198" s="163"/>
      <c r="X198" s="163"/>
      <c r="Y198" s="163"/>
      <c r="Z198" s="163"/>
      <c r="AA198" s="163"/>
      <c r="AB198" s="163"/>
      <c r="AC198" s="163"/>
      <c r="AD198" s="163"/>
      <c r="AE198" s="163"/>
      <c r="AF198" s="163"/>
      <c r="AG198" s="163"/>
      <c r="AH198" s="163"/>
      <c r="AI198" s="163"/>
      <c r="AJ198" s="163"/>
    </row>
    <row r="199" spans="2:36">
      <c r="B199" s="163"/>
      <c r="C199" s="163"/>
      <c r="D199" s="163"/>
      <c r="E199" s="163"/>
      <c r="F199" s="163"/>
      <c r="G199" s="163"/>
      <c r="H199" s="163"/>
      <c r="I199" s="163"/>
      <c r="J199" s="163"/>
      <c r="K199" s="163"/>
      <c r="L199" s="163"/>
      <c r="M199" s="163"/>
      <c r="N199" s="163"/>
      <c r="O199" s="163"/>
      <c r="P199" s="163"/>
      <c r="Q199" s="163"/>
      <c r="R199" s="163"/>
      <c r="S199" s="163"/>
      <c r="T199" s="163"/>
      <c r="U199" s="163"/>
      <c r="V199" s="163"/>
      <c r="W199" s="163"/>
      <c r="X199" s="163"/>
      <c r="Y199" s="163"/>
      <c r="Z199" s="163"/>
      <c r="AA199" s="163"/>
      <c r="AB199" s="163"/>
      <c r="AC199" s="163"/>
      <c r="AD199" s="163"/>
      <c r="AE199" s="163"/>
      <c r="AF199" s="163"/>
      <c r="AG199" s="163"/>
      <c r="AH199" s="163"/>
      <c r="AI199" s="163"/>
      <c r="AJ199" s="163"/>
    </row>
    <row r="200" spans="2:36">
      <c r="B200" s="163"/>
      <c r="C200" s="163"/>
      <c r="D200" s="163"/>
      <c r="E200" s="163"/>
      <c r="F200" s="163"/>
      <c r="G200" s="163"/>
      <c r="H200" s="163"/>
      <c r="I200" s="163"/>
      <c r="J200" s="163"/>
      <c r="K200" s="163"/>
      <c r="L200" s="163"/>
      <c r="M200" s="163"/>
      <c r="N200" s="163"/>
      <c r="O200" s="163"/>
      <c r="P200" s="163"/>
      <c r="Q200" s="163"/>
      <c r="R200" s="163"/>
      <c r="S200" s="163"/>
      <c r="T200" s="163"/>
      <c r="U200" s="163"/>
      <c r="V200" s="163"/>
      <c r="W200" s="163"/>
      <c r="X200" s="163"/>
      <c r="Y200" s="163"/>
      <c r="Z200" s="163"/>
      <c r="AA200" s="163"/>
      <c r="AB200" s="163"/>
      <c r="AC200" s="163"/>
      <c r="AD200" s="163"/>
      <c r="AE200" s="163"/>
      <c r="AF200" s="163"/>
      <c r="AG200" s="163"/>
      <c r="AH200" s="163"/>
      <c r="AI200" s="163"/>
      <c r="AJ200" s="163"/>
    </row>
    <row r="201" spans="2:36">
      <c r="B201" s="163"/>
      <c r="C201" s="163"/>
      <c r="D201" s="163"/>
      <c r="E201" s="163"/>
      <c r="F201" s="163"/>
      <c r="G201" s="163"/>
      <c r="H201" s="163"/>
      <c r="I201" s="163"/>
      <c r="J201" s="163"/>
      <c r="K201" s="163"/>
      <c r="L201" s="163"/>
      <c r="M201" s="163"/>
      <c r="N201" s="163"/>
      <c r="O201" s="163"/>
      <c r="P201" s="163"/>
      <c r="Q201" s="163"/>
      <c r="R201" s="163"/>
      <c r="S201" s="163"/>
      <c r="T201" s="163"/>
      <c r="U201" s="163"/>
      <c r="V201" s="163"/>
      <c r="W201" s="163"/>
      <c r="X201" s="163"/>
      <c r="Y201" s="163"/>
      <c r="Z201" s="163"/>
      <c r="AA201" s="163"/>
      <c r="AB201" s="163"/>
      <c r="AC201" s="163"/>
      <c r="AD201" s="163"/>
      <c r="AE201" s="163"/>
      <c r="AF201" s="163"/>
      <c r="AG201" s="163"/>
      <c r="AH201" s="163"/>
      <c r="AI201" s="163"/>
      <c r="AJ201" s="163"/>
    </row>
    <row r="202" spans="2:36">
      <c r="B202" s="163"/>
      <c r="C202" s="163"/>
      <c r="D202" s="163"/>
      <c r="E202" s="163"/>
      <c r="F202" s="163"/>
      <c r="G202" s="163"/>
      <c r="H202" s="163"/>
      <c r="I202" s="163"/>
      <c r="J202" s="163"/>
      <c r="K202" s="163"/>
      <c r="L202" s="163"/>
      <c r="M202" s="163"/>
      <c r="N202" s="163"/>
      <c r="O202" s="163"/>
      <c r="P202" s="163"/>
      <c r="Q202" s="163"/>
      <c r="R202" s="163"/>
      <c r="S202" s="163"/>
      <c r="T202" s="163"/>
      <c r="U202" s="163"/>
      <c r="V202" s="163"/>
      <c r="W202" s="163"/>
      <c r="X202" s="163"/>
      <c r="Y202" s="163"/>
      <c r="Z202" s="163"/>
      <c r="AA202" s="163"/>
      <c r="AB202" s="163"/>
      <c r="AC202" s="163"/>
      <c r="AD202" s="163"/>
      <c r="AE202" s="163"/>
      <c r="AF202" s="163"/>
      <c r="AG202" s="163"/>
      <c r="AH202" s="163"/>
      <c r="AI202" s="163"/>
      <c r="AJ202" s="163"/>
    </row>
    <row r="203" spans="2:36">
      <c r="B203" s="163"/>
      <c r="C203" s="163"/>
      <c r="D203" s="163"/>
      <c r="E203" s="163"/>
      <c r="F203" s="163"/>
      <c r="G203" s="163"/>
      <c r="H203" s="163"/>
      <c r="I203" s="163"/>
      <c r="J203" s="163"/>
      <c r="K203" s="163"/>
      <c r="L203" s="163"/>
      <c r="M203" s="163"/>
      <c r="N203" s="163"/>
      <c r="O203" s="163"/>
      <c r="P203" s="163"/>
      <c r="Q203" s="163"/>
      <c r="R203" s="163"/>
      <c r="S203" s="163"/>
      <c r="T203" s="163"/>
      <c r="U203" s="163"/>
      <c r="V203" s="163"/>
      <c r="W203" s="163"/>
      <c r="X203" s="163"/>
      <c r="Y203" s="163"/>
      <c r="Z203" s="163"/>
      <c r="AA203" s="163"/>
      <c r="AB203" s="163"/>
      <c r="AC203" s="163"/>
      <c r="AD203" s="163"/>
      <c r="AE203" s="163"/>
      <c r="AF203" s="163"/>
      <c r="AG203" s="163"/>
      <c r="AH203" s="163"/>
      <c r="AI203" s="163"/>
      <c r="AJ203" s="163"/>
    </row>
    <row r="204" spans="2:36">
      <c r="B204" s="163"/>
      <c r="C204" s="163"/>
      <c r="D204" s="163"/>
      <c r="E204" s="163"/>
      <c r="F204" s="163"/>
      <c r="G204" s="163"/>
      <c r="H204" s="163"/>
      <c r="I204" s="163"/>
      <c r="J204" s="163"/>
      <c r="K204" s="163"/>
      <c r="L204" s="163"/>
      <c r="M204" s="163"/>
      <c r="N204" s="163"/>
      <c r="O204" s="163"/>
      <c r="P204" s="163"/>
      <c r="Q204" s="163"/>
      <c r="R204" s="163"/>
      <c r="S204" s="163"/>
      <c r="T204" s="163"/>
      <c r="U204" s="163"/>
      <c r="V204" s="163"/>
      <c r="W204" s="163"/>
      <c r="X204" s="163"/>
      <c r="Y204" s="163"/>
      <c r="Z204" s="163"/>
      <c r="AA204" s="163"/>
      <c r="AB204" s="163"/>
      <c r="AC204" s="163"/>
      <c r="AD204" s="163"/>
      <c r="AE204" s="163"/>
      <c r="AF204" s="163"/>
      <c r="AG204" s="163"/>
      <c r="AH204" s="163"/>
      <c r="AI204" s="163"/>
      <c r="AJ204" s="163"/>
    </row>
    <row r="205" spans="2:36">
      <c r="B205" s="163"/>
      <c r="C205" s="163"/>
      <c r="D205" s="163"/>
      <c r="E205" s="163"/>
      <c r="F205" s="163"/>
      <c r="G205" s="163"/>
      <c r="H205" s="163"/>
      <c r="I205" s="163"/>
      <c r="J205" s="163"/>
      <c r="K205" s="163"/>
      <c r="L205" s="163"/>
      <c r="M205" s="163"/>
      <c r="N205" s="163"/>
      <c r="O205" s="163"/>
      <c r="P205" s="163"/>
      <c r="Q205" s="163"/>
      <c r="R205" s="163"/>
      <c r="S205" s="163"/>
      <c r="T205" s="163"/>
      <c r="U205" s="163"/>
      <c r="V205" s="163"/>
      <c r="W205" s="163"/>
      <c r="X205" s="163"/>
      <c r="Y205" s="163"/>
      <c r="Z205" s="163"/>
      <c r="AA205" s="163"/>
      <c r="AB205" s="163"/>
      <c r="AC205" s="163"/>
      <c r="AD205" s="163"/>
      <c r="AE205" s="163"/>
      <c r="AF205" s="163"/>
      <c r="AG205" s="163"/>
      <c r="AH205" s="163"/>
      <c r="AI205" s="163"/>
      <c r="AJ205" s="163"/>
    </row>
    <row r="206" spans="2:36">
      <c r="B206" s="163"/>
      <c r="C206" s="163"/>
      <c r="D206" s="163"/>
      <c r="E206" s="163"/>
      <c r="F206" s="163"/>
      <c r="G206" s="163"/>
      <c r="H206" s="163"/>
      <c r="I206" s="163"/>
      <c r="J206" s="163"/>
      <c r="K206" s="163"/>
      <c r="L206" s="163"/>
      <c r="M206" s="163"/>
      <c r="N206" s="163"/>
      <c r="O206" s="163"/>
      <c r="P206" s="163"/>
      <c r="Q206" s="163"/>
      <c r="R206" s="163"/>
      <c r="S206" s="163"/>
      <c r="T206" s="163"/>
      <c r="U206" s="163"/>
      <c r="V206" s="163"/>
      <c r="W206" s="163"/>
      <c r="X206" s="163"/>
      <c r="Y206" s="163"/>
      <c r="Z206" s="163"/>
      <c r="AA206" s="163"/>
      <c r="AB206" s="163"/>
      <c r="AC206" s="163"/>
      <c r="AD206" s="163"/>
      <c r="AE206" s="163"/>
      <c r="AF206" s="163"/>
      <c r="AG206" s="163"/>
      <c r="AH206" s="163"/>
      <c r="AI206" s="163"/>
      <c r="AJ206" s="163"/>
    </row>
    <row r="207" spans="2:36">
      <c r="B207" s="163"/>
      <c r="C207" s="163"/>
      <c r="D207" s="163"/>
      <c r="E207" s="163"/>
      <c r="F207" s="163"/>
      <c r="G207" s="163"/>
      <c r="H207" s="163"/>
      <c r="I207" s="163"/>
      <c r="J207" s="163"/>
      <c r="K207" s="163"/>
      <c r="L207" s="163"/>
      <c r="M207" s="163"/>
      <c r="N207" s="163"/>
      <c r="O207" s="163"/>
      <c r="P207" s="163"/>
      <c r="Q207" s="163"/>
      <c r="R207" s="163"/>
      <c r="S207" s="163"/>
      <c r="T207" s="163"/>
      <c r="U207" s="163"/>
      <c r="V207" s="163"/>
      <c r="W207" s="163"/>
      <c r="X207" s="163"/>
      <c r="Y207" s="163"/>
      <c r="Z207" s="163"/>
      <c r="AA207" s="163"/>
      <c r="AB207" s="163"/>
      <c r="AC207" s="163"/>
      <c r="AD207" s="163"/>
      <c r="AE207" s="163"/>
      <c r="AF207" s="163"/>
      <c r="AG207" s="163"/>
      <c r="AH207" s="163"/>
      <c r="AI207" s="163"/>
      <c r="AJ207" s="163"/>
    </row>
    <row r="208" spans="2:36">
      <c r="B208" s="163"/>
      <c r="C208" s="163"/>
      <c r="D208" s="163"/>
      <c r="E208" s="163"/>
      <c r="F208" s="163"/>
      <c r="G208" s="163"/>
      <c r="H208" s="163"/>
      <c r="I208" s="163"/>
      <c r="J208" s="163"/>
      <c r="K208" s="163"/>
      <c r="L208" s="163"/>
      <c r="M208" s="163"/>
      <c r="N208" s="163"/>
      <c r="O208" s="163"/>
      <c r="P208" s="163"/>
      <c r="Q208" s="163"/>
      <c r="R208" s="163"/>
      <c r="S208" s="163"/>
      <c r="T208" s="163"/>
      <c r="U208" s="163"/>
      <c r="V208" s="163"/>
      <c r="W208" s="163"/>
      <c r="X208" s="163"/>
      <c r="Y208" s="163"/>
      <c r="Z208" s="163"/>
      <c r="AA208" s="163"/>
      <c r="AB208" s="163"/>
      <c r="AC208" s="163"/>
      <c r="AD208" s="163"/>
      <c r="AE208" s="163"/>
      <c r="AF208" s="163"/>
      <c r="AG208" s="163"/>
      <c r="AH208" s="163"/>
      <c r="AI208" s="163"/>
      <c r="AJ208" s="163"/>
    </row>
    <row r="209" spans="2:36">
      <c r="B209" s="163"/>
      <c r="C209" s="163"/>
      <c r="D209" s="163"/>
      <c r="E209" s="163"/>
      <c r="F209" s="163"/>
      <c r="G209" s="163"/>
      <c r="H209" s="163"/>
      <c r="I209" s="163"/>
      <c r="J209" s="163"/>
      <c r="K209" s="163"/>
      <c r="L209" s="163"/>
      <c r="M209" s="163"/>
      <c r="N209" s="163"/>
      <c r="O209" s="163"/>
      <c r="P209" s="163"/>
      <c r="Q209" s="163"/>
      <c r="R209" s="163"/>
      <c r="S209" s="163"/>
      <c r="T209" s="163"/>
      <c r="U209" s="163"/>
      <c r="V209" s="163"/>
      <c r="W209" s="163"/>
      <c r="X209" s="163"/>
      <c r="Y209" s="163"/>
      <c r="Z209" s="163"/>
      <c r="AA209" s="163"/>
      <c r="AB209" s="163"/>
      <c r="AC209" s="163"/>
      <c r="AD209" s="163"/>
      <c r="AE209" s="163"/>
      <c r="AF209" s="163"/>
      <c r="AG209" s="163"/>
      <c r="AH209" s="163"/>
      <c r="AI209" s="163"/>
      <c r="AJ209" s="163"/>
    </row>
    <row r="210" spans="2:36">
      <c r="B210" s="163"/>
      <c r="C210" s="163"/>
      <c r="D210" s="163"/>
      <c r="E210" s="163"/>
      <c r="F210" s="163"/>
      <c r="G210" s="163"/>
      <c r="H210" s="163"/>
      <c r="I210" s="163"/>
      <c r="J210" s="163"/>
      <c r="K210" s="163"/>
      <c r="L210" s="163"/>
      <c r="M210" s="163"/>
      <c r="N210" s="163"/>
      <c r="O210" s="163"/>
      <c r="P210" s="163"/>
      <c r="Q210" s="163"/>
      <c r="R210" s="163"/>
      <c r="S210" s="163"/>
      <c r="T210" s="163"/>
      <c r="U210" s="163"/>
      <c r="V210" s="163"/>
      <c r="W210" s="163"/>
      <c r="X210" s="163"/>
      <c r="Y210" s="163"/>
      <c r="Z210" s="163"/>
      <c r="AA210" s="163"/>
      <c r="AB210" s="163"/>
      <c r="AC210" s="163"/>
      <c r="AD210" s="163"/>
      <c r="AE210" s="163"/>
      <c r="AF210" s="163"/>
      <c r="AG210" s="163"/>
      <c r="AH210" s="163"/>
      <c r="AI210" s="163"/>
      <c r="AJ210" s="163"/>
    </row>
    <row r="211" spans="2:36">
      <c r="B211" s="163"/>
      <c r="C211" s="163"/>
      <c r="D211" s="163"/>
      <c r="E211" s="163"/>
      <c r="F211" s="163"/>
      <c r="G211" s="163"/>
      <c r="H211" s="163"/>
      <c r="I211" s="163"/>
      <c r="J211" s="163"/>
      <c r="K211" s="163"/>
      <c r="L211" s="163"/>
      <c r="M211" s="163"/>
      <c r="N211" s="163"/>
      <c r="O211" s="163"/>
      <c r="P211" s="163"/>
      <c r="Q211" s="163"/>
      <c r="R211" s="163"/>
      <c r="S211" s="163"/>
      <c r="T211" s="163"/>
      <c r="U211" s="163"/>
      <c r="V211" s="163"/>
      <c r="W211" s="163"/>
      <c r="X211" s="163"/>
      <c r="Y211" s="163"/>
      <c r="Z211" s="163"/>
      <c r="AA211" s="163"/>
      <c r="AB211" s="163"/>
      <c r="AC211" s="163"/>
      <c r="AD211" s="163"/>
      <c r="AE211" s="163"/>
      <c r="AF211" s="163"/>
      <c r="AG211" s="163"/>
      <c r="AH211" s="163"/>
      <c r="AI211" s="163"/>
      <c r="AJ211" s="163"/>
    </row>
    <row r="212" spans="2:36">
      <c r="B212" s="163"/>
      <c r="C212" s="163"/>
      <c r="D212" s="163"/>
      <c r="E212" s="163"/>
      <c r="F212" s="163"/>
      <c r="G212" s="163"/>
      <c r="H212" s="163"/>
      <c r="I212" s="163"/>
      <c r="J212" s="163"/>
      <c r="K212" s="163"/>
      <c r="L212" s="163"/>
      <c r="M212" s="163"/>
      <c r="N212" s="163"/>
      <c r="O212" s="163"/>
      <c r="P212" s="163"/>
      <c r="Q212" s="163"/>
      <c r="R212" s="163"/>
      <c r="S212" s="163"/>
      <c r="T212" s="163"/>
      <c r="U212" s="163"/>
      <c r="V212" s="163"/>
      <c r="W212" s="163"/>
      <c r="X212" s="163"/>
      <c r="Y212" s="163"/>
      <c r="Z212" s="163"/>
      <c r="AA212" s="163"/>
      <c r="AB212" s="163"/>
      <c r="AC212" s="163"/>
      <c r="AD212" s="163"/>
      <c r="AE212" s="163"/>
      <c r="AF212" s="163"/>
      <c r="AG212" s="163"/>
      <c r="AH212" s="163"/>
      <c r="AI212" s="163"/>
      <c r="AJ212" s="163"/>
    </row>
    <row r="213" spans="2:36">
      <c r="B213" s="163"/>
      <c r="C213" s="163"/>
      <c r="D213" s="163"/>
      <c r="E213" s="163"/>
      <c r="F213" s="163"/>
      <c r="G213" s="163"/>
      <c r="H213" s="163"/>
      <c r="I213" s="163"/>
      <c r="J213" s="163"/>
      <c r="K213" s="163"/>
      <c r="L213" s="163"/>
      <c r="M213" s="163"/>
      <c r="N213" s="163"/>
      <c r="O213" s="163"/>
      <c r="P213" s="163"/>
      <c r="Q213" s="163"/>
      <c r="R213" s="163"/>
      <c r="S213" s="163"/>
      <c r="T213" s="163"/>
      <c r="U213" s="163"/>
      <c r="V213" s="163"/>
      <c r="W213" s="163"/>
      <c r="X213" s="163"/>
      <c r="Y213" s="163"/>
      <c r="Z213" s="163"/>
      <c r="AA213" s="163"/>
      <c r="AB213" s="163"/>
      <c r="AC213" s="163"/>
      <c r="AD213" s="163"/>
      <c r="AE213" s="163"/>
      <c r="AF213" s="163"/>
      <c r="AG213" s="163"/>
      <c r="AH213" s="163"/>
      <c r="AI213" s="163"/>
      <c r="AJ213" s="163"/>
    </row>
    <row r="214" spans="2:36">
      <c r="B214" s="163"/>
      <c r="C214" s="163"/>
      <c r="D214" s="163"/>
      <c r="E214" s="163"/>
      <c r="F214" s="163"/>
      <c r="G214" s="163"/>
      <c r="H214" s="163"/>
      <c r="I214" s="163"/>
      <c r="J214" s="163"/>
      <c r="K214" s="163"/>
      <c r="L214" s="163"/>
      <c r="M214" s="163"/>
      <c r="N214" s="163"/>
      <c r="O214" s="163"/>
      <c r="P214" s="163"/>
      <c r="Q214" s="163"/>
      <c r="R214" s="163"/>
      <c r="S214" s="163"/>
      <c r="T214" s="163"/>
      <c r="U214" s="163"/>
      <c r="V214" s="163"/>
      <c r="W214" s="163"/>
      <c r="X214" s="163"/>
      <c r="Y214" s="163"/>
      <c r="Z214" s="163"/>
      <c r="AA214" s="163"/>
      <c r="AB214" s="163"/>
      <c r="AC214" s="163"/>
      <c r="AD214" s="163"/>
      <c r="AE214" s="163"/>
      <c r="AF214" s="163"/>
      <c r="AG214" s="163"/>
      <c r="AH214" s="163"/>
      <c r="AI214" s="163"/>
      <c r="AJ214" s="163"/>
    </row>
    <row r="215" spans="2:36">
      <c r="B215" s="163"/>
      <c r="C215" s="163"/>
      <c r="D215" s="163"/>
      <c r="E215" s="163"/>
      <c r="F215" s="163"/>
      <c r="G215" s="163"/>
      <c r="H215" s="163"/>
      <c r="I215" s="163"/>
      <c r="J215" s="163"/>
      <c r="K215" s="163"/>
      <c r="L215" s="163"/>
      <c r="M215" s="163"/>
      <c r="N215" s="163"/>
      <c r="O215" s="163"/>
      <c r="P215" s="163"/>
      <c r="Q215" s="163"/>
      <c r="R215" s="163"/>
      <c r="S215" s="163"/>
      <c r="T215" s="163"/>
      <c r="U215" s="163"/>
      <c r="V215" s="163"/>
      <c r="W215" s="163"/>
      <c r="X215" s="163"/>
      <c r="Y215" s="163"/>
      <c r="Z215" s="163"/>
      <c r="AA215" s="163"/>
      <c r="AB215" s="163"/>
      <c r="AC215" s="163"/>
      <c r="AD215" s="163"/>
      <c r="AE215" s="163"/>
      <c r="AF215" s="163"/>
      <c r="AG215" s="163"/>
      <c r="AH215" s="163"/>
      <c r="AI215" s="163"/>
      <c r="AJ215" s="163"/>
    </row>
  </sheetData>
  <mergeCells count="43">
    <mergeCell ref="B26:J26"/>
    <mergeCell ref="B28:J28"/>
    <mergeCell ref="B29:J30"/>
    <mergeCell ref="B31:J31"/>
    <mergeCell ref="B33:B34"/>
    <mergeCell ref="C33:J34"/>
    <mergeCell ref="B53:F53"/>
    <mergeCell ref="H53:L53"/>
    <mergeCell ref="AB6:AC6"/>
    <mergeCell ref="B7:D7"/>
    <mergeCell ref="B8:D8"/>
    <mergeCell ref="B10:D10"/>
    <mergeCell ref="B11:D11"/>
    <mergeCell ref="AB10:AC10"/>
    <mergeCell ref="B9:D9"/>
    <mergeCell ref="B6:D6"/>
    <mergeCell ref="AB14:AC14"/>
    <mergeCell ref="S48:U48"/>
    <mergeCell ref="S49:T49"/>
    <mergeCell ref="S50:T50"/>
    <mergeCell ref="AB18:AC18"/>
    <mergeCell ref="AB42:AC42"/>
    <mergeCell ref="AB47:AC47"/>
    <mergeCell ref="C49:D49"/>
    <mergeCell ref="C51:D51"/>
    <mergeCell ref="C42:E42"/>
    <mergeCell ref="C48:D48"/>
    <mergeCell ref="B1:J2"/>
    <mergeCell ref="I13:J13"/>
    <mergeCell ref="F13:G13"/>
    <mergeCell ref="C45:D45"/>
    <mergeCell ref="C46:D46"/>
    <mergeCell ref="C43:E43"/>
    <mergeCell ref="C44:E44"/>
    <mergeCell ref="G42:I42"/>
    <mergeCell ref="G43:I43"/>
    <mergeCell ref="G44:I44"/>
    <mergeCell ref="G45:H45"/>
    <mergeCell ref="G46:I46"/>
    <mergeCell ref="B23:J23"/>
    <mergeCell ref="B24:J25"/>
    <mergeCell ref="B35:J40"/>
    <mergeCell ref="C14:D14"/>
  </mergeCells>
  <conditionalFormatting sqref="F62:F63">
    <cfRule type="cellIs" dxfId="11" priority="33" operator="greaterThan">
      <formula>#REF!</formula>
    </cfRule>
  </conditionalFormatting>
  <conditionalFormatting sqref="L62:L63">
    <cfRule type="cellIs" dxfId="10" priority="34" operator="lessThan">
      <formula>$AG$55</formula>
    </cfRule>
    <cfRule type="cellIs" dxfId="9" priority="35" operator="greaterThan">
      <formula>$AG$55</formula>
    </cfRule>
  </conditionalFormatting>
  <conditionalFormatting sqref="F62:F63">
    <cfRule type="cellIs" dxfId="8" priority="36" operator="lessThan">
      <formula>#REF!</formula>
    </cfRule>
  </conditionalFormatting>
  <conditionalFormatting sqref="B26:J26">
    <cfRule type="containsText" dxfId="7" priority="4" operator="containsText" text="In this scenario, feed the current STTD phosphorus levels or the biological STTD phosphorus do not differ in economics.">
      <formula>NOT(ISERROR(SEARCH("In this scenario, feed the current STTD phosphorus levels or the biological STTD phosphorus do not differ in economics.",B26)))</formula>
    </cfRule>
    <cfRule type="containsText" dxfId="6" priority="5" operator="containsText" text="In this scenario, it is economical to feed PIC STTD phosphorus biological levels.">
      <formula>NOT(ISERROR(SEARCH("In this scenario, it is economical to feed PIC STTD phosphorus biological levels.",B26)))</formula>
    </cfRule>
    <cfRule type="containsText" dxfId="5" priority="6" operator="containsText" text="In this scenario, it isn't economical to feed PIC STTD phosphorus biological levels.">
      <formula>NOT(ISERROR(SEARCH("In this scenario, it isn't economical to feed PIC STTD phosphorus biological levels.",B26)))</formula>
    </cfRule>
  </conditionalFormatting>
  <conditionalFormatting sqref="B31:J31">
    <cfRule type="containsText" dxfId="4" priority="1" operator="containsText" text="In this scenario, feed the current STTD phosphorus levels or the biological STTD phosphorus do not differ in economics.">
      <formula>NOT(ISERROR(SEARCH("In this scenario, feed the current STTD phosphorus levels or the biological STTD phosphorus do not differ in economics.",B31)))</formula>
    </cfRule>
    <cfRule type="containsText" dxfId="3" priority="2" operator="containsText" text="In this scenario, it is economical to feed PIC STTD phosphorus biological levels.">
      <formula>NOT(ISERROR(SEARCH("In this scenario, it is economical to feed PIC STTD phosphorus biological levels.",B31)))</formula>
    </cfRule>
    <cfRule type="containsText" dxfId="2" priority="3" operator="containsText" text="In this scenario, it isn't economical to feed PIC STTD phosphorus biological levels.">
      <formula>NOT(ISERROR(SEARCH("In this scenario, it isn't economical to feed PIC STTD phosphorus biological levels.",B31)))</formula>
    </cfRule>
  </conditionalFormatting>
  <conditionalFormatting sqref="I45 I47 E45:E47 E49:E51">
    <cfRule type="cellIs" dxfId="1" priority="37" operator="greaterThan">
      <formula>#REF!</formula>
    </cfRule>
  </conditionalFormatting>
  <conditionalFormatting sqref="I45 I47 E45:E47 E49:E51">
    <cfRule type="cellIs" dxfId="0" priority="38" operator="lessThan">
      <formula>#REF!</formula>
    </cfRule>
  </conditionalFormatting>
  <dataValidations count="5">
    <dataValidation type="list" allowBlank="1" showInputMessage="1" showErrorMessage="1" promptTitle="If carcass criteria is selected:" prompt="The model can only be evaluated on a carcass basis if the final body weight is greater than 243 lb. " sqref="E6" xr:uid="{3EDCBDC7-8EE3-7849-90AD-2A469BD0F64C}">
      <formula1>$T$9:$T$10</formula1>
    </dataValidation>
    <dataValidation errorStyle="warning" allowBlank="1" showInputMessage="1" showErrorMessage="1" error="Please double check your entry" sqref="E10 E7:E8" xr:uid="{9A991BD9-84DE-284A-BF11-8506C14B56E5}"/>
    <dataValidation type="decimal" errorStyle="warning" allowBlank="1" showInputMessage="1" showErrorMessage="1" error="Please double check your entry" sqref="G15:G21 J15:J21" xr:uid="{EBD5DFDD-F572-4F46-868D-7C22E92448AE}">
      <formula1>30</formula1>
      <formula2>500</formula2>
    </dataValidation>
    <dataValidation type="decimal" operator="greaterThanOrEqual" allowBlank="1" showInputMessage="1" showErrorMessage="1" errorTitle="Outside range" error="The model is applicable for growing-finishing pigs, please enter a weight at or above 50 lbs." sqref="C15:C21" xr:uid="{2310FF1D-F90D-4B8A-8543-8B2BAC100B06}">
      <formula1>50</formula1>
    </dataValidation>
    <dataValidation allowBlank="1" showInputMessage="1" showErrorMessage="1" prompt="If the carcass yield entered is 76% or greater, we assume that they are based on carcasses with heads on and thus no impact of phosphorus on yield is considered. " sqref="E9" xr:uid="{37DD7CB0-CB04-DC49-B4DC-9CE799DBC509}"/>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ABA63-ED27-694C-8642-F32B37B2D710}">
  <sheetPr codeName="Sheet9">
    <tabColor rgb="FFFF0000"/>
  </sheetPr>
  <dimension ref="A1:P96"/>
  <sheetViews>
    <sheetView workbookViewId="0">
      <selection activeCell="G36" sqref="G36"/>
    </sheetView>
  </sheetViews>
  <sheetFormatPr defaultColWidth="10.625" defaultRowHeight="15.75"/>
  <cols>
    <col min="1" max="1" width="66.125" bestFit="1" customWidth="1"/>
    <col min="2" max="2" width="11.125" customWidth="1"/>
    <col min="3" max="3" width="11.625" bestFit="1" customWidth="1"/>
    <col min="4" max="4" width="11" bestFit="1" customWidth="1"/>
    <col min="5" max="6" width="11.625" bestFit="1" customWidth="1"/>
    <col min="7" max="7" width="11.625" customWidth="1"/>
    <col min="10" max="10" width="32.625" customWidth="1"/>
    <col min="11" max="12" width="15" customWidth="1"/>
  </cols>
  <sheetData>
    <row r="1" spans="1:16" ht="21">
      <c r="A1" s="312" t="s">
        <v>27</v>
      </c>
      <c r="B1" s="312"/>
      <c r="C1" s="312"/>
      <c r="D1" s="312"/>
      <c r="E1" s="312"/>
      <c r="F1" s="312"/>
      <c r="G1" s="312"/>
      <c r="H1" s="312"/>
      <c r="I1" s="312"/>
      <c r="J1" s="312"/>
      <c r="K1" s="312"/>
      <c r="L1" s="312"/>
      <c r="M1" s="312"/>
      <c r="N1" s="312"/>
      <c r="O1" s="312"/>
    </row>
    <row r="2" spans="1:16">
      <c r="A2" s="313" t="s">
        <v>28</v>
      </c>
      <c r="B2" s="315" t="s">
        <v>29</v>
      </c>
      <c r="C2" s="315"/>
      <c r="D2" s="315"/>
      <c r="E2" s="315"/>
      <c r="F2" s="315"/>
      <c r="G2" s="315"/>
      <c r="H2" s="2"/>
      <c r="I2" s="2"/>
      <c r="J2" s="314" t="s">
        <v>30</v>
      </c>
      <c r="K2" s="314"/>
      <c r="L2" s="81"/>
      <c r="M2" s="18"/>
      <c r="N2" s="18"/>
      <c r="O2" s="18"/>
    </row>
    <row r="3" spans="1:16">
      <c r="A3" s="313"/>
      <c r="B3" s="315"/>
      <c r="C3" s="315"/>
      <c r="D3" s="315"/>
      <c r="E3" s="315"/>
      <c r="F3" s="315"/>
      <c r="G3" s="315"/>
      <c r="H3" s="2"/>
      <c r="I3" s="2"/>
      <c r="J3" s="314"/>
      <c r="K3" s="314"/>
      <c r="L3" s="81"/>
      <c r="M3" s="18"/>
      <c r="N3" s="18"/>
      <c r="O3" s="18"/>
    </row>
    <row r="4" spans="1:16" ht="16.5" thickBot="1">
      <c r="A4" s="313"/>
      <c r="B4" s="77">
        <v>1</v>
      </c>
      <c r="C4" s="77">
        <v>2</v>
      </c>
      <c r="D4" s="77">
        <v>3</v>
      </c>
      <c r="E4" s="77">
        <v>4</v>
      </c>
      <c r="F4" s="77">
        <v>5</v>
      </c>
      <c r="G4" s="77">
        <v>6</v>
      </c>
      <c r="H4" s="2"/>
      <c r="I4" s="2"/>
      <c r="J4" s="19" t="s">
        <v>28</v>
      </c>
      <c r="K4" s="19" t="s">
        <v>31</v>
      </c>
      <c r="L4" s="19">
        <v>2</v>
      </c>
      <c r="M4" s="19">
        <v>3</v>
      </c>
      <c r="N4" s="19">
        <v>4</v>
      </c>
      <c r="O4" s="19">
        <v>5</v>
      </c>
      <c r="P4" s="64">
        <v>6</v>
      </c>
    </row>
    <row r="5" spans="1:16">
      <c r="A5" t="s">
        <v>76</v>
      </c>
      <c r="B5" s="3">
        <f>'Finisher Model - ME Imperial'!C15</f>
        <v>50</v>
      </c>
      <c r="C5" s="3">
        <f>'Finisher Model - ME Imperial'!C16</f>
        <v>90</v>
      </c>
      <c r="D5" s="3">
        <f>'Finisher Model - ME Imperial'!C17</f>
        <v>130</v>
      </c>
      <c r="E5" s="3">
        <f>'Finisher Model - ME Imperial'!C18</f>
        <v>180</v>
      </c>
      <c r="F5" s="3">
        <f>'Finisher Model - ME Imperial'!C19</f>
        <v>230</v>
      </c>
      <c r="G5" s="3" t="str">
        <f>'Finisher Model - ME Imperial'!C20</f>
        <v/>
      </c>
      <c r="J5" t="s">
        <v>42</v>
      </c>
      <c r="K5" s="10">
        <f>IF('Finisher Model - ME Imperial'!$E$11=2,'Current Performance - ME'!L5,IF('Finisher Model - ME Imperial'!$E$11=3,'Current Performance - ME'!M5,IF('Finisher Model - ME Imperial'!$E$11=4,'Current Performance - ME'!N5,IF('Finisher Model - ME Imperial'!$E$11=5,'Current Performance - ME'!O5,IF('Finisher Model - ME Imperial'!$E$11=6,'Current Performance - ME'!P5,"")))))</f>
        <v>2.1327135645190345</v>
      </c>
      <c r="L5">
        <f>((SUMPRODUCT($B$11:$C$11,$B$16:$C$16)/SUM($B$16:$C$16))*0.00220462)</f>
        <v>2.1281228068802354</v>
      </c>
      <c r="M5">
        <f>((SUMPRODUCT($B$11:$D$11,$B$16:$D$16)/SUM($B$16:$D$16))*0.00220462)</f>
        <v>2.1269391719219746</v>
      </c>
      <c r="N5">
        <f>((SUMPRODUCT($B$11:$E$11,$B$16:$E$16)/SUM($B$16:$E$16))*0.00220462)</f>
        <v>2.1283603006890579</v>
      </c>
      <c r="O5">
        <f>((SUMPRODUCT($B$11:$F$11,$B$16:$F$16)/SUM($B$16:$F$16))*0.00220462)</f>
        <v>2.1327135645190345</v>
      </c>
      <c r="P5" t="e">
        <f>((SUMPRODUCT($B$11:$G$11,$B$16:$G$16)/SUM($B$16:$G$16))*0.00220462)</f>
        <v>#VALUE!</v>
      </c>
    </row>
    <row r="6" spans="1:16">
      <c r="A6" t="s">
        <v>77</v>
      </c>
      <c r="B6" s="3">
        <f>'Finisher Model - ME Imperial'!D15</f>
        <v>90</v>
      </c>
      <c r="C6" s="3">
        <f>'Finisher Model - ME Imperial'!D16</f>
        <v>130</v>
      </c>
      <c r="D6" s="3">
        <f>'Finisher Model - ME Imperial'!D17</f>
        <v>180</v>
      </c>
      <c r="E6" s="3">
        <f>'Finisher Model - ME Imperial'!D18</f>
        <v>230</v>
      </c>
      <c r="F6" s="3">
        <f>'Finisher Model - ME Imperial'!D19</f>
        <v>285</v>
      </c>
      <c r="G6" s="3">
        <f>'Finisher Model - ME Imperial'!D20</f>
        <v>0</v>
      </c>
      <c r="J6" t="s">
        <v>43</v>
      </c>
      <c r="K6" s="10">
        <f>IF('Finisher Model - ME Imperial'!$E$11=2,'Current Performance - ME'!L6,IF('Finisher Model - ME Imperial'!$E$11=3,'Current Performance - ME'!M6,IF('Finisher Model - ME Imperial'!$E$11=4,'Current Performance - ME'!N6,IF('Finisher Model - ME Imperial'!$E$11=5,'Current Performance - ME'!O6,IF('Finisher Model - ME Imperial'!$E$11=6,'Current Performance - ME'!P6,"")))))</f>
        <v>2.4953610026314896</v>
      </c>
      <c r="L6">
        <f>SUM($B$17:$C$17)/SUM($B$19:$C$19)</f>
        <v>1.9411152238479707</v>
      </c>
      <c r="M6">
        <f>SUM($B$17:$D$17)/SUM($B$19:$D$19)</f>
        <v>2.1199041847458795</v>
      </c>
      <c r="N6">
        <f>SUM($B$17:$E$17)/SUM($B$19:$E$19)</f>
        <v>2.2986931456437896</v>
      </c>
      <c r="O6">
        <f>SUM($B$17:$F$17)/SUM($B$19:$F$19)</f>
        <v>2.4953610026314896</v>
      </c>
      <c r="P6" t="e">
        <f>SUM($B$17:$G$17)/SUM($B$19:$G$19)</f>
        <v>#VALUE!</v>
      </c>
    </row>
    <row r="7" spans="1:16">
      <c r="A7" t="s">
        <v>78</v>
      </c>
      <c r="B7" s="3">
        <f>B6-B5</f>
        <v>40</v>
      </c>
      <c r="C7" s="3">
        <f t="shared" ref="C7:E7" si="0">C6-C5</f>
        <v>40</v>
      </c>
      <c r="D7" s="3">
        <f t="shared" si="0"/>
        <v>50</v>
      </c>
      <c r="E7" s="3">
        <f t="shared" si="0"/>
        <v>50</v>
      </c>
      <c r="F7" s="3">
        <f>F6-F5</f>
        <v>55</v>
      </c>
      <c r="G7" s="3" t="e">
        <f>G6-G5</f>
        <v>#VALUE!</v>
      </c>
      <c r="J7" t="s">
        <v>44</v>
      </c>
      <c r="K7" s="10">
        <f>IF('Finisher Model - ME Imperial'!$E$11=2,'Current Performance - ME'!L7,IF('Finisher Model - ME Imperial'!$E$11=3,'Current Performance - ME'!M7,IF('Finisher Model - ME Imperial'!$E$11=4,'Current Performance - ME'!N7,IF('Finisher Model - ME Imperial'!$E$11=5,'Current Performance - ME'!O7,IF('Finisher Model - ME Imperial'!$E$11=6,'Current Performance - ME'!P7,"")))))</f>
        <v>5.3218419792502729</v>
      </c>
      <c r="L7">
        <f>SUM(B17:C17)/SUM(B16:C16)</f>
        <v>4.1308941034278313</v>
      </c>
      <c r="M7">
        <f>SUM(B17:D17)/SUM(B16:D16)</f>
        <v>4.5088663470901595</v>
      </c>
      <c r="N7">
        <f>SUM(B17:E17)/SUM(B16:E16)</f>
        <v>4.8924028510667847</v>
      </c>
      <c r="O7">
        <f>SUM(B17:F17)/SUM(B16:F16)</f>
        <v>5.3218419792502729</v>
      </c>
      <c r="P7" t="e">
        <f>SUM(B17:G17)/SUM(B16:G16)</f>
        <v>#VALUE!</v>
      </c>
    </row>
    <row r="8" spans="1:16">
      <c r="A8" t="s">
        <v>32</v>
      </c>
      <c r="B8" s="4">
        <f>'Finisher Model - ME Imperial'!H15</f>
        <v>3306.93</v>
      </c>
      <c r="C8" s="4">
        <f>'Finisher Model - ME Imperial'!H16</f>
        <v>3306.93</v>
      </c>
      <c r="D8" s="4">
        <f>'Finisher Model - ME Imperial'!H17</f>
        <v>3315.7484799999997</v>
      </c>
      <c r="E8" s="4">
        <f>'Finisher Model - ME Imperial'!H18</f>
        <v>3320.1577199999997</v>
      </c>
      <c r="F8" s="4">
        <f>'Finisher Model - ME Imperial'!H19</f>
        <v>3324.5669599999997</v>
      </c>
      <c r="G8" s="4">
        <f>'Finisher Model - ME Imperial'!H20</f>
        <v>0</v>
      </c>
      <c r="J8" t="s">
        <v>45</v>
      </c>
      <c r="K8" s="10">
        <f>IF('Finisher Model - ME Imperial'!$E$11=2,'Current Performance - ME'!L8,IF('Finisher Model - ME Imperial'!$E$11=3,'Current Performance - ME'!M8,IF('Finisher Model - ME Imperial'!$E$11=4,'Current Performance - ME'!N8,IF('Finisher Model - ME Imperial'!$E$11=5,'Current Performance - ME'!O8,IF('Finisher Model - ME Imperial'!$E$11=6,'Current Performance - ME'!P8,"")))))</f>
        <v>110.18813048113459</v>
      </c>
      <c r="L8" s="11">
        <f>SUM(B16:C16)</f>
        <v>37.591770832637934</v>
      </c>
      <c r="M8" s="11">
        <f>SUM(B16:D16)</f>
        <v>61.120622119131752</v>
      </c>
      <c r="N8" s="11">
        <f>SUM(B16:E16)</f>
        <v>84.572046319702991</v>
      </c>
      <c r="O8" s="11">
        <f>SUM(B16:F16)</f>
        <v>110.18813048113459</v>
      </c>
      <c r="P8" s="11" t="e">
        <f>SUM(B16:G16)</f>
        <v>#VALUE!</v>
      </c>
    </row>
    <row r="9" spans="1:16">
      <c r="A9" t="s">
        <v>33</v>
      </c>
      <c r="B9" s="5">
        <f>'Finisher Model - ME Imperial'!G15</f>
        <v>274.70999999999998</v>
      </c>
      <c r="C9" s="5">
        <f>'Finisher Model - ME Imperial'!G16</f>
        <v>260.44</v>
      </c>
      <c r="D9" s="5">
        <f>'Finisher Model - ME Imperial'!G17</f>
        <v>247.49</v>
      </c>
      <c r="E9" s="5">
        <f>'Finisher Model - ME Imperial'!G18</f>
        <v>237.61</v>
      </c>
      <c r="F9" s="5">
        <f>'Finisher Model - ME Imperial'!G19</f>
        <v>231.73</v>
      </c>
      <c r="G9" s="5">
        <f>'Finisher Model - ME Imperial'!G20</f>
        <v>0</v>
      </c>
      <c r="J9" t="s">
        <v>46</v>
      </c>
      <c r="K9" s="10">
        <f>IF('Finisher Model - ME Imperial'!$E$11=2,'Current Performance - ME'!L9,IF('Finisher Model - ME Imperial'!$E$11=3,'Current Performance - ME'!M9,IF('Finisher Model - ME Imperial'!$E$11=4,'Current Performance - ME'!N9,IF('Finisher Model - ME Imperial'!$E$11=5,'Current Performance - ME'!O9,IF('Finisher Model - ME Imperial'!$E$11=6,'Current Performance - ME'!P9,"")))))</f>
        <v>586.40381840960868</v>
      </c>
      <c r="L9" s="11">
        <f>SUM(B17:C17)</f>
        <v>155.28762446995438</v>
      </c>
      <c r="M9" s="11">
        <f>SUM(B17:D17)</f>
        <v>275.58471618616761</v>
      </c>
      <c r="N9" s="11">
        <f>SUM(B17:E17)</f>
        <v>413.76052053506709</v>
      </c>
      <c r="O9" s="11">
        <f>SUM(B17:F17)</f>
        <v>586.40381840960868</v>
      </c>
      <c r="P9" s="11">
        <f>SUM(B17:G17)</f>
        <v>-73.812438871229688</v>
      </c>
    </row>
    <row r="10" spans="1:16">
      <c r="A10" t="s">
        <v>79</v>
      </c>
      <c r="B10" s="3">
        <f>AVERAGE(B5:B6)</f>
        <v>70</v>
      </c>
      <c r="C10" s="3">
        <f t="shared" ref="C10:D10" si="1">AVERAGE(C5:C6)</f>
        <v>110</v>
      </c>
      <c r="D10" s="3">
        <f t="shared" si="1"/>
        <v>155</v>
      </c>
      <c r="E10" s="3">
        <f>AVERAGE(E5:E6)</f>
        <v>205</v>
      </c>
      <c r="F10" s="3">
        <f>AVERAGE(F5:F6)</f>
        <v>257.5</v>
      </c>
      <c r="G10" s="3">
        <f>AVERAGE(G5:G6)</f>
        <v>0</v>
      </c>
      <c r="J10" s="17" t="s">
        <v>47</v>
      </c>
      <c r="K10" s="10">
        <f>IF('Finisher Model - ME Imperial'!$E$11=2,'Current Performance - ME'!L10,IF('Finisher Model - ME Imperial'!$E$11=3,'Current Performance - ME'!M10,IF('Finisher Model - ME Imperial'!$E$11=4,'Current Performance - ME'!N10,IF('Finisher Model - ME Imperial'!$E$11=5,'Current Performance - ME'!O10,IF('Finisher Model - ME Imperial'!$E$11=6,'Current Performance - ME'!P10,"")))))</f>
        <v>72.040178140418647</v>
      </c>
      <c r="L10" s="15">
        <f>SUM(B18:C18)</f>
        <v>20.734722382091071</v>
      </c>
      <c r="M10" s="15">
        <f>SUM(B18:D18)</f>
        <v>35.620885996513884</v>
      </c>
      <c r="N10" s="17">
        <f>SUM(B18:E18)</f>
        <v>52.03686243218489</v>
      </c>
      <c r="O10" s="15">
        <f>SUM(B18:F18)</f>
        <v>72.040178140418647</v>
      </c>
      <c r="P10" s="15">
        <f>SUM(B18:G18)</f>
        <v>72.040178140418647</v>
      </c>
    </row>
    <row r="11" spans="1:16" ht="16.5" thickBot="1">
      <c r="A11" t="s">
        <v>63</v>
      </c>
      <c r="B11" s="9">
        <f>IFERROR(651.36+531.33*'Finisher Model - ME Imperial'!S17-216.9*('Finisher Model - ME Imperial'!S17*'Finisher Model - ME Imperial'!S17),"")</f>
        <v>964.90134493774508</v>
      </c>
      <c r="C11" s="9">
        <f>IFERROR(651.36+531.33*'Finisher Model - ME Imperial'!S18-216.9*('Finisher Model - ME Imperial'!S18*'Finisher Model - ME Imperial'!S18),"")</f>
        <v>965.70181817547825</v>
      </c>
      <c r="D11" s="9">
        <f>IFERROR(651.36+531.33*'Finisher Model - ME Imperial'!S19-216.9*('Finisher Model - ME Imperial'!S19*'Finisher Model - ME Imperial'!S19),"")</f>
        <v>963.90674682102713</v>
      </c>
      <c r="E11" s="9">
        <f>IFERROR(651.36+531.33*'Finisher Model - ME Imperial'!S20-216.9*('Finisher Model - ME Imperial'!S20*'Finisher Model - ME Imperial'!S20),"")</f>
        <v>967.08917573746191</v>
      </c>
      <c r="F11" s="9">
        <f>IFERROR(651.36+531.33*'Finisher Model - ME Imperial'!S22-216.9*('Finisher Model - ME Imperial'!S22*'Finisher Model - ME Imperial'!S22),"")</f>
        <v>973.90296630746843</v>
      </c>
      <c r="G11" s="9" t="str">
        <f>IFERROR(651.36+531.33*'Finisher Model - ME Imperial'!S42-216.9*('Finisher Model - ME Imperial'!S42*'Finisher Model - ME Imperial'!S42),"")</f>
        <v/>
      </c>
      <c r="J11" s="1" t="s">
        <v>48</v>
      </c>
      <c r="K11" s="16">
        <f>IF('Finisher Model - ME Imperial'!$E$11=2,'Current Performance - ME'!L11,IF('Finisher Model - ME Imperial'!$E$11=3,'Current Performance - ME'!M11,IF('Finisher Model - ME Imperial'!$E$11=4,'Current Performance - ME'!N11,IF('Finisher Model - ME Imperial'!$E$11=5,'Current Performance - ME'!O11,IF('Finisher Model - ME Imperial'!$E$11=6,'Current Performance - ME'!P11,"")))))</f>
        <v>85.26275379815479</v>
      </c>
      <c r="L11" s="16">
        <f>SUM(B21:C21)</f>
        <v>25.245734882007625</v>
      </c>
      <c r="M11" s="16">
        <f>SUM(B21:D21)</f>
        <v>42.955360650809695</v>
      </c>
      <c r="N11" s="1">
        <f>SUM(B21:E21)</f>
        <v>62.18550799054924</v>
      </c>
      <c r="O11" s="16">
        <f>SUM(B21:F21)</f>
        <v>85.26275379815479</v>
      </c>
      <c r="P11" s="10" t="e">
        <f>SUM(B21:G21)</f>
        <v>#VALUE!</v>
      </c>
    </row>
    <row r="12" spans="1:16">
      <c r="A12" t="s">
        <v>64</v>
      </c>
      <c r="B12" s="9">
        <f>IFERROR(338.34+108.98*'Finisher Model - ME Imperial'!S17-46.7864*('Finisher Model - ME Imperial'!S17*'Finisher Model - ME Imperial'!S17),"")</f>
        <v>400.39221617351848</v>
      </c>
      <c r="C12" s="9">
        <f>IFERROR(338.34+108.98*'Finisher Model - ME Imperial'!S18-46.7864*('Finisher Model - ME Imperial'!S18*'Finisher Model - ME Imperial'!S18),"")</f>
        <v>400.51965937276026</v>
      </c>
      <c r="D12" s="9">
        <f>IFERROR(338.34+108.98*'Finisher Model - ME Imperial'!S19-46.7864*('Finisher Model - ME Imperial'!S19*'Finisher Model - ME Imperial'!S19),"")</f>
        <v>400.23178872638016</v>
      </c>
      <c r="E12" s="9">
        <f>IFERROR(338.34+108.98*'Finisher Model - ME Imperial'!S20-46.7864*('Finisher Model - ME Imperial'!S20*'Finisher Model - ME Imperial'!S20),"")</f>
        <v>400.73647173059038</v>
      </c>
      <c r="F12" s="9">
        <f>IFERROR(338.34+108.98*'Finisher Model - ME Imperial'!S22-46.7864*('Finisher Model - ME Imperial'!S22*'Finisher Model - ME Imperial'!S22),"")</f>
        <v>401.66321580723843</v>
      </c>
      <c r="G12" s="9" t="str">
        <f>IFERROR(338.34+108.98*'Finisher Model - ME Imperial'!S42-46.7864*('Finisher Model - ME Imperial'!S42*'Finisher Model - ME Imperial'!S42),"")</f>
        <v/>
      </c>
      <c r="J12" s="17" t="s">
        <v>55</v>
      </c>
      <c r="K12" s="10">
        <f>IF('Finisher Model - ME Imperial'!$E$11=2,'Current Performance - ME'!L12,IF('Finisher Model - ME Imperial'!$E$11=3,'Current Performance - ME'!M12,IF('Finisher Model - ME Imperial'!$E$11=4,'Current Performance - ME'!N12,IF('Finisher Model - ME Imperial'!$E$11=5,'Current Performance - ME'!O12,IF('Finisher Model - ME Imperial'!$E$11=6,'Current Performance - ME'!P12,"")))))</f>
        <v>284.99758864197003</v>
      </c>
      <c r="L12" s="17">
        <f>SUM(B19:C19,'Finisher Model - ME Imperial'!C15)*'Finisher Model - ME Imperial'!E7</f>
        <v>129.99917911215999</v>
      </c>
      <c r="M12" s="17">
        <f>SUM(B19:D19,'Finisher Model - ME Imperial'!C15)*'Finisher Model - ME Imperial'!E7</f>
        <v>179.99866605726001</v>
      </c>
      <c r="N12" s="17">
        <f>SUM(B19:E19,'Finisher Model - ME Imperial'!C15)*'Finisher Model - ME Imperial'!E7</f>
        <v>229.99815300236003</v>
      </c>
      <c r="O12" s="17">
        <f>SUM(B19:F19,'Finisher Model - ME Imperial'!C15)*'Finisher Model - ME Imperial'!E7</f>
        <v>284.99758864197003</v>
      </c>
      <c r="P12" s="17" t="e">
        <f>SUM(B19:G19,'Finisher Model - ME Imperial'!C15)*'Finisher Model - ME Imperial'!E7</f>
        <v>#VALUE!</v>
      </c>
    </row>
    <row r="13" spans="1:16">
      <c r="A13" t="s">
        <v>65</v>
      </c>
      <c r="B13" s="6">
        <f t="shared" ref="B13:G13" si="2">(B11/B12)*1000</f>
        <v>2409.8903673981126</v>
      </c>
      <c r="C13" s="6">
        <f t="shared" si="2"/>
        <v>2411.1221398915345</v>
      </c>
      <c r="D13" s="6">
        <f t="shared" si="2"/>
        <v>2408.3712837712783</v>
      </c>
      <c r="E13" s="6">
        <f t="shared" si="2"/>
        <v>2413.2796587270018</v>
      </c>
      <c r="F13" s="6">
        <f t="shared" si="2"/>
        <v>2424.6755191415205</v>
      </c>
      <c r="G13" s="6" t="e">
        <f t="shared" si="2"/>
        <v>#VALUE!</v>
      </c>
      <c r="J13" s="17" t="s">
        <v>49</v>
      </c>
      <c r="K13" s="10">
        <f>IF('Finisher Model - ME Imperial'!$E$11=2,'Current Performance - ME'!L13,IF('Finisher Model - ME Imperial'!$E$11=3,'Current Performance - ME'!M13,IF('Finisher Model - ME Imperial'!$E$11=4,'Current Performance - ME'!N13,IF('Finisher Model - ME Imperial'!$E$11=5,'Current Performance - ME'!O13,IF('Finisher Model - ME Imperial'!$E$11=6,'Current Performance - ME'!P13,"")))))</f>
        <v>212.95741050155138</v>
      </c>
      <c r="L13" s="14">
        <f>L12-L10</f>
        <v>109.26445673006893</v>
      </c>
      <c r="M13" s="14">
        <f>M12-M10</f>
        <v>144.37778006074612</v>
      </c>
      <c r="N13" s="17">
        <f>N12-N10</f>
        <v>177.96129057017515</v>
      </c>
      <c r="O13" s="17">
        <f>O12-O10</f>
        <v>212.95741050155138</v>
      </c>
      <c r="P13" s="15" t="e">
        <f>P12-P10</f>
        <v>#VALUE!</v>
      </c>
    </row>
    <row r="14" spans="1:16" ht="16.5" thickBot="1">
      <c r="A14" t="s">
        <v>66</v>
      </c>
      <c r="B14" s="44">
        <f t="shared" ref="B14:G14" si="3">B13/B11</f>
        <v>2.4975510502097991</v>
      </c>
      <c r="C14" s="44">
        <f t="shared" si="3"/>
        <v>2.4967563429122674</v>
      </c>
      <c r="D14" s="44">
        <f t="shared" si="3"/>
        <v>2.4985521594429212</v>
      </c>
      <c r="E14" s="44">
        <f t="shared" si="3"/>
        <v>2.4954055109620428</v>
      </c>
      <c r="F14" s="44">
        <f t="shared" si="3"/>
        <v>2.4896479454566447</v>
      </c>
      <c r="G14" s="44" t="e">
        <f t="shared" si="3"/>
        <v>#VALUE!</v>
      </c>
      <c r="H14" s="2"/>
      <c r="J14" s="1" t="s">
        <v>50</v>
      </c>
      <c r="K14" s="16">
        <f>IF('Finisher Model - ME Imperial'!$E$11=2,'Current Performance - ME'!L14,IF('Finisher Model - ME Imperial'!$E$11=3,'Current Performance - ME'!M14,IF('Finisher Model - ME Imperial'!$E$11=4,'Current Performance - ME'!N14,IF('Finisher Model - ME Imperial'!$E$11=5,'Current Performance - ME'!O14,IF('Finisher Model - ME Imperial'!$E$11=6,'Current Performance - ME'!P14,"")))))</f>
        <v>199.73483484381524</v>
      </c>
      <c r="L14" s="16">
        <f>L12-L11</f>
        <v>104.75344423015237</v>
      </c>
      <c r="M14" s="16">
        <f>M12-M11</f>
        <v>137.04330540645032</v>
      </c>
      <c r="N14" s="1">
        <f t="shared" ref="N14" si="4">N12-N11</f>
        <v>167.81264501181079</v>
      </c>
      <c r="O14" s="1">
        <f>O12-O11</f>
        <v>199.73483484381524</v>
      </c>
      <c r="P14" s="16" t="e">
        <f>P12-P11</f>
        <v>#VALUE!</v>
      </c>
    </row>
    <row r="15" spans="1:16">
      <c r="A15" t="s">
        <v>88</v>
      </c>
      <c r="B15" s="44">
        <f>IF('Finisher Model - ME Imperial'!E11=2,(SUMPRODUCT(B14:C14,B16:C16)/SUM(B16:C16)),IF('Finisher Model - ME Imperial'!E11=3,(SUMPRODUCT(B14:D14,B16:D16)/SUM(B16:D16)),IF('Finisher Model - ME Imperial'!E11=4,(SUMPRODUCT(B14:E14,B16:E16)/SUM(B16:E16)),IF('Finisher Model - ME Imperial'!E11=5,(SUMPRODUCT(B14:F14,B16:F16)/SUM(B16:F16)),IF('Finisher Model - ME Imperial'!E11=6,(SUMPRODUCT(B14:G14,B16:G16)/SUM(B16:G16)),"")))))</f>
        <v>2.4953353974876964</v>
      </c>
      <c r="C15" s="76"/>
      <c r="D15" s="76"/>
      <c r="E15" s="76"/>
      <c r="F15" s="76"/>
      <c r="G15" s="76"/>
      <c r="J15" s="17" t="s">
        <v>56</v>
      </c>
      <c r="K15" s="10">
        <f>IF('Finisher Model - ME Imperial'!$E$11=2,'Current Performance - ME'!L15,IF('Finisher Model - ME Imperial'!$E$11=3,'Current Performance - ME'!M15,IF('Finisher Model - ME Imperial'!$E$11=4,'Current Performance - ME'!N15,IF('Finisher Model - ME Imperial'!$E$11=5,'Current Performance - ME'!O15,IF('Finisher Model - ME Imperial'!$E$11=6,'Current Performance - ME'!P15,"")))))</f>
        <v>164.43881580075595</v>
      </c>
      <c r="L15" s="17">
        <f>C28*'Finisher Model - ME Imperial'!$E$8</f>
        <v>164.43881580075595</v>
      </c>
      <c r="M15" s="17">
        <f>D28*'Finisher Model - ME Imperial'!$E$8</f>
        <v>164.43881580075595</v>
      </c>
      <c r="N15" s="17">
        <f>E28*'Finisher Model - ME Imperial'!$E$8</f>
        <v>164.43881580075595</v>
      </c>
      <c r="O15" s="17">
        <f>F28*'Finisher Model - ME Imperial'!$E$8</f>
        <v>164.43881580075595</v>
      </c>
      <c r="P15" s="17">
        <f>G28*'Finisher Model - ME Imperial'!$E$8</f>
        <v>164.43881580075595</v>
      </c>
    </row>
    <row r="16" spans="1:16">
      <c r="A16" t="s">
        <v>41</v>
      </c>
      <c r="B16" s="21">
        <f>(CONVERT(B7,"lbm","g"))/B11</f>
        <v>18.803678630140809</v>
      </c>
      <c r="C16" s="21">
        <f t="shared" ref="C16:G16" si="5">(CONVERT(C7,"lbm","g"))/C11</f>
        <v>18.788092202497126</v>
      </c>
      <c r="D16" s="21">
        <f t="shared" si="5"/>
        <v>23.528851286493822</v>
      </c>
      <c r="E16" s="21">
        <f t="shared" si="5"/>
        <v>23.451424200571232</v>
      </c>
      <c r="F16" s="21">
        <f t="shared" si="5"/>
        <v>25.616084161431605</v>
      </c>
      <c r="G16" s="21" t="e">
        <f t="shared" si="5"/>
        <v>#VALUE!</v>
      </c>
      <c r="H16" s="11">
        <f>IF('Finisher Model - ME Imperial'!E11=2,SUM(B16:C16),IF('Finisher Model - ME Imperial'!E11=3,SUM(B16:D16),IF('Finisher Model - ME Imperial'!E11=4,SUM(B16:E16),IF('Finisher Model - ME Imperial'!E11=5,SUM(B16:F16),IF('Finisher Model - ME Imperial'!E11=6,SUM(B16:G16),"")))))</f>
        <v>110.18813048113459</v>
      </c>
      <c r="J16" s="17" t="s">
        <v>57</v>
      </c>
      <c r="K16" s="10">
        <f>IF('Finisher Model - ME Imperial'!$E$11=2,'Current Performance - ME'!L16,IF('Finisher Model - ME Imperial'!$E$11=3,'Current Performance - ME'!M16,IF('Finisher Model - ME Imperial'!$E$11=4,'Current Performance - ME'!N16,IF('Finisher Model - ME Imperial'!$E$11=5,'Current Performance - ME'!O16,IF('Finisher Model - ME Imperial'!$E$11=6,'Current Performance - ME'!P16,"")))))</f>
        <v>92.3986376603373</v>
      </c>
      <c r="L16" s="15">
        <f>L15-L10</f>
        <v>143.70409341866488</v>
      </c>
      <c r="M16" s="15">
        <f>M15-M10</f>
        <v>128.81792980424206</v>
      </c>
      <c r="N16" s="15">
        <f>N15-N10</f>
        <v>112.40195336857106</v>
      </c>
      <c r="O16" s="15">
        <f>O15-O10</f>
        <v>92.3986376603373</v>
      </c>
      <c r="P16" s="15">
        <f>P15-P10</f>
        <v>92.3986376603373</v>
      </c>
    </row>
    <row r="17" spans="1:16" ht="16.5" thickBot="1">
      <c r="A17" t="s">
        <v>68</v>
      </c>
      <c r="B17" s="25">
        <f>D45</f>
        <v>71.922624192517645</v>
      </c>
      <c r="C17" s="25">
        <f>D46</f>
        <v>83.365000277436735</v>
      </c>
      <c r="D17" s="25">
        <f>D47</f>
        <v>120.29709171621326</v>
      </c>
      <c r="E17" s="25">
        <f>D48</f>
        <v>138.17580434889948</v>
      </c>
      <c r="F17" s="25">
        <f>D49</f>
        <v>172.64329787454153</v>
      </c>
      <c r="G17" s="25">
        <f>D50</f>
        <v>-660.21625728083836</v>
      </c>
      <c r="H17" s="11"/>
      <c r="J17" s="1" t="s">
        <v>58</v>
      </c>
      <c r="K17" s="16">
        <f>IF('Finisher Model - ME Imperial'!$E$11=2,'Current Performance - ME'!L17,IF('Finisher Model - ME Imperial'!$E$11=3,'Current Performance - ME'!M17,IF('Finisher Model - ME Imperial'!$E$11=4,'Current Performance - ME'!N17,IF('Finisher Model - ME Imperial'!$E$11=5,'Current Performance - ME'!O17,IF('Finisher Model - ME Imperial'!$E$11=6,'Current Performance - ME'!P17,"")))))</f>
        <v>79.176062002601157</v>
      </c>
      <c r="L17" s="16">
        <f>L15-L11</f>
        <v>139.19308091874831</v>
      </c>
      <c r="M17" s="16">
        <f>M15-M11</f>
        <v>121.48345514994625</v>
      </c>
      <c r="N17" s="1">
        <f>N15-N11</f>
        <v>102.25330781020671</v>
      </c>
      <c r="O17" s="16">
        <f>O15-O11</f>
        <v>79.176062002601157</v>
      </c>
      <c r="P17" s="16" t="e">
        <f>P15-P11</f>
        <v>#VALUE!</v>
      </c>
    </row>
    <row r="18" spans="1:16">
      <c r="A18" t="s">
        <v>34</v>
      </c>
      <c r="B18" s="6">
        <f>(B17*(B9/2000))</f>
        <v>9.8789320459632588</v>
      </c>
      <c r="C18" s="6">
        <f>(C17*(C9/2000))</f>
        <v>10.855790336127813</v>
      </c>
      <c r="D18" s="6">
        <f t="shared" ref="D18:E18" si="6">(D17*(D9/2000))</f>
        <v>14.886163614422811</v>
      </c>
      <c r="E18" s="6">
        <f t="shared" si="6"/>
        <v>16.415976435671002</v>
      </c>
      <c r="F18" s="6">
        <f>(F17*(F9/2000))</f>
        <v>20.003315708233753</v>
      </c>
      <c r="G18" s="6">
        <f>(G17*(G9/2000))</f>
        <v>0</v>
      </c>
    </row>
    <row r="19" spans="1:16">
      <c r="A19" t="s">
        <v>35</v>
      </c>
      <c r="B19" s="6">
        <f t="shared" ref="B19:G19" si="7">B11/1000*B16*2.2046</f>
        <v>39.999589556080004</v>
      </c>
      <c r="C19" s="6">
        <f t="shared" si="7"/>
        <v>39.999589556080004</v>
      </c>
      <c r="D19" s="6">
        <f t="shared" si="7"/>
        <v>49.999486945100003</v>
      </c>
      <c r="E19" s="6">
        <f t="shared" si="7"/>
        <v>49.999486945100003</v>
      </c>
      <c r="F19" s="6">
        <f t="shared" si="7"/>
        <v>54.999435639609999</v>
      </c>
      <c r="G19" s="6" t="e">
        <f t="shared" si="7"/>
        <v>#VALUE!</v>
      </c>
      <c r="H19" s="11">
        <f>IF('Finisher Model - ME Imperial'!E11=2,SUM(B19:C19)+'Finisher Model - ME Imperial'!C15,IF('Finisher Model - ME Imperial'!E11=3,SUM(B19:D19)+'Finisher Model - ME Imperial'!C15,IF('Finisher Model - ME Imperial'!E11=4,SUM(B19:E19)+'Finisher Model - ME Imperial'!C15,IF('Finisher Model - ME Imperial'!E11=5,SUM(B19:F19)+'Finisher Model - ME Imperial'!C15,IF('Finisher Model - ME Imperial'!E11=6,SUM(B19:G19)+'Finisher Model - ME Imperial'!C15,"")))))</f>
        <v>284.99758864197003</v>
      </c>
      <c r="I19" s="6">
        <f>CONVERT(H19,"lbm","kg")</f>
        <v>129.27273167639629</v>
      </c>
      <c r="K19" s="11"/>
      <c r="L19" s="11"/>
    </row>
    <row r="20" spans="1:16">
      <c r="A20" t="s">
        <v>36</v>
      </c>
      <c r="B20" s="76">
        <f t="shared" ref="B20:G20" si="8">B18/((B11*0.00220462)*B16)</f>
        <v>0.24697359486257731</v>
      </c>
      <c r="C20" s="76">
        <f t="shared" si="8"/>
        <v>0.27139508115995836</v>
      </c>
      <c r="D20" s="76">
        <f t="shared" si="8"/>
        <v>0.29772362635645755</v>
      </c>
      <c r="E20" s="76">
        <f t="shared" si="8"/>
        <v>0.32831991916808095</v>
      </c>
      <c r="F20" s="76">
        <f t="shared" si="8"/>
        <v>0.36369708176758636</v>
      </c>
      <c r="G20" s="76" t="e">
        <f t="shared" si="8"/>
        <v>#VALUE!</v>
      </c>
      <c r="H20" s="11"/>
    </row>
    <row r="21" spans="1:16">
      <c r="A21" t="s">
        <v>37</v>
      </c>
      <c r="B21" s="76">
        <f>B18+(B16*'Finisher Model - ME Imperial'!$E$10)</f>
        <v>12.135373481580157</v>
      </c>
      <c r="C21" s="76">
        <f>C18+(C16*'Finisher Model - ME Imperial'!$E$10)</f>
        <v>13.110361400427468</v>
      </c>
      <c r="D21" s="76">
        <f>D18+(D16*'Finisher Model - ME Imperial'!$E$10)</f>
        <v>17.70962576880207</v>
      </c>
      <c r="E21" s="76">
        <f>E18+(E16*'Finisher Model - ME Imperial'!$E$10)</f>
        <v>19.230147339739549</v>
      </c>
      <c r="F21" s="76">
        <f>F18+(F16*'Finisher Model - ME Imperial'!$E$10)</f>
        <v>23.077245807605546</v>
      </c>
      <c r="G21" s="76" t="e">
        <f>G18+(G16*'Finisher Model - ME Imperial'!$E$10)</f>
        <v>#VALUE!</v>
      </c>
      <c r="H21" s="46"/>
      <c r="I21" s="29"/>
    </row>
    <row r="23" spans="1:16">
      <c r="A23" t="s">
        <v>62</v>
      </c>
      <c r="B23" s="76">
        <f>B19*'Finisher Model - ME Imperial'!$E$7</f>
        <v>39.999589556080004</v>
      </c>
      <c r="C23" s="76">
        <f>C19*'Finisher Model - ME Imperial'!$E$7</f>
        <v>39.999589556080004</v>
      </c>
      <c r="D23" s="76">
        <f>D19*'Finisher Model - ME Imperial'!$E$7</f>
        <v>49.999486945100003</v>
      </c>
      <c r="E23" s="76">
        <f>E19*'Finisher Model - ME Imperial'!$E$7</f>
        <v>49.999486945100003</v>
      </c>
      <c r="F23" s="76">
        <f>F19*'Finisher Model - ME Imperial'!$E$7</f>
        <v>54.999435639609999</v>
      </c>
      <c r="G23" s="76" t="e">
        <f>G19*'Finisher Model - ME Imperial'!$E$7</f>
        <v>#VALUE!</v>
      </c>
    </row>
    <row r="24" spans="1:16">
      <c r="A24" t="s">
        <v>39</v>
      </c>
      <c r="B24" s="76">
        <f t="shared" ref="B24:G24" si="9">B23-B18</f>
        <v>30.120657510116743</v>
      </c>
      <c r="C24" s="76">
        <f t="shared" si="9"/>
        <v>29.143799219952193</v>
      </c>
      <c r="D24" s="76">
        <f t="shared" si="9"/>
        <v>35.11332333067719</v>
      </c>
      <c r="E24" s="76">
        <f t="shared" si="9"/>
        <v>33.583510509429004</v>
      </c>
      <c r="F24" s="76">
        <f t="shared" si="9"/>
        <v>34.996119931376242</v>
      </c>
      <c r="G24" s="76" t="e">
        <f t="shared" si="9"/>
        <v>#VALUE!</v>
      </c>
      <c r="H24" s="10"/>
    </row>
    <row r="25" spans="1:16">
      <c r="A25" t="s">
        <v>40</v>
      </c>
      <c r="B25" s="76">
        <f>B23-B21</f>
        <v>27.864216074499847</v>
      </c>
      <c r="C25" s="76">
        <f t="shared" ref="C25:G25" si="10">C23-C21</f>
        <v>26.889228155652535</v>
      </c>
      <c r="D25" s="76">
        <f t="shared" si="10"/>
        <v>32.289861176297933</v>
      </c>
      <c r="E25" s="76">
        <f t="shared" si="10"/>
        <v>30.769339605360454</v>
      </c>
      <c r="F25" s="76">
        <f t="shared" si="10"/>
        <v>31.922189832004452</v>
      </c>
      <c r="G25" s="76" t="e">
        <f t="shared" si="10"/>
        <v>#VALUE!</v>
      </c>
    </row>
    <row r="26" spans="1:16">
      <c r="A26" t="s">
        <v>90</v>
      </c>
      <c r="B26" s="76">
        <f>'Finisher Model - ME Imperial'!S17</f>
        <v>0.99106590262234673</v>
      </c>
      <c r="C26" s="76">
        <f>'Finisher Model - ME Imperial'!S18</f>
        <v>0.99909765999437017</v>
      </c>
      <c r="D26" s="76">
        <f>'Finisher Model - ME Imperial'!S19</f>
        <v>0.98145534358358266</v>
      </c>
      <c r="E26" s="76">
        <f>'Finisher Model - ME Imperial'!S20</f>
        <v>1.0137406723629696</v>
      </c>
      <c r="F26" s="76">
        <f>'Finisher Model - ME Imperial'!S22</f>
        <v>1.1101839646674505</v>
      </c>
      <c r="G26" s="76" t="str">
        <f>'Finisher Model - ME Imperial'!S42</f>
        <v/>
      </c>
    </row>
    <row r="27" spans="1:16">
      <c r="A27" t="s">
        <v>91</v>
      </c>
      <c r="B27" s="76">
        <f>SUMPRODUCT(B26,B17)/SUM(B17)</f>
        <v>0.99106590262234673</v>
      </c>
      <c r="C27" s="76">
        <f>SUMPRODUCT(B26:C26,B17:C17)/SUM(B17:C17)</f>
        <v>0.99537769152266953</v>
      </c>
      <c r="D27" s="76">
        <f>SUMPRODUCT(B26:D26,B17:D17)/SUM(B17:D17)</f>
        <v>0.9893003662264368</v>
      </c>
      <c r="E27" s="76">
        <f>SUMPRODUCT(B26:E26,B17:E17)/SUM(B17:E17)</f>
        <v>0.9974622347260742</v>
      </c>
      <c r="F27" s="76">
        <f>SUMPRODUCT(B26:F26,B17:F17)/SUM(B17:F17)</f>
        <v>1.0306486680136031</v>
      </c>
      <c r="G27" s="76">
        <f>SUMPRODUCT(B26:G26,B17:G17)/SUM(B17:G17)</f>
        <v>-8.1880008790432388</v>
      </c>
    </row>
    <row r="28" spans="1:16">
      <c r="A28" t="s">
        <v>175</v>
      </c>
      <c r="B28" s="76">
        <f>$H$19*B36/100</f>
        <v>210.81899461635376</v>
      </c>
      <c r="C28" s="76">
        <f t="shared" ref="C28:G28" si="11">$H$19*C36/100</f>
        <v>210.81899461635376</v>
      </c>
      <c r="D28" s="76">
        <f t="shared" si="11"/>
        <v>210.81899461635376</v>
      </c>
      <c r="E28" s="76">
        <f t="shared" si="11"/>
        <v>210.81899461635376</v>
      </c>
      <c r="F28" s="76">
        <f t="shared" si="11"/>
        <v>210.81899461635376</v>
      </c>
      <c r="G28" s="76">
        <f t="shared" si="11"/>
        <v>210.81899461635376</v>
      </c>
    </row>
    <row r="29" spans="1:16">
      <c r="A29" t="s">
        <v>172</v>
      </c>
      <c r="B29" s="76">
        <f>(VLOOKUP($I$19,$C$57:$I$96,7,TRUE))*100</f>
        <v>74.834422113559796</v>
      </c>
      <c r="C29" s="76">
        <f t="shared" ref="C29:G29" si="12">(VLOOKUP($I$19,$C$57:$I$96,7,TRUE))*100</f>
        <v>74.834422113559796</v>
      </c>
      <c r="D29" s="76">
        <f t="shared" si="12"/>
        <v>74.834422113559796</v>
      </c>
      <c r="E29" s="76">
        <f t="shared" si="12"/>
        <v>74.834422113559796</v>
      </c>
      <c r="F29" s="76">
        <f t="shared" si="12"/>
        <v>74.834422113559796</v>
      </c>
      <c r="G29" s="76">
        <f t="shared" si="12"/>
        <v>74.834422113559796</v>
      </c>
    </row>
    <row r="30" spans="1:16">
      <c r="A30" t="s">
        <v>107</v>
      </c>
      <c r="B30" s="6">
        <f>'Finisher Model - ME Imperial'!E9</f>
        <v>74</v>
      </c>
      <c r="C30" s="76"/>
      <c r="D30" s="76"/>
      <c r="E30" s="76"/>
      <c r="F30" s="76"/>
      <c r="G30" s="76"/>
    </row>
    <row r="31" spans="1:16">
      <c r="A31" t="s">
        <v>108</v>
      </c>
      <c r="B31" s="54">
        <f>B30/B29</f>
        <v>0.98884975536667363</v>
      </c>
      <c r="C31" s="9"/>
      <c r="D31" s="9"/>
      <c r="E31" s="9"/>
      <c r="F31" s="9"/>
      <c r="G31" s="9"/>
    </row>
    <row r="32" spans="1:16">
      <c r="A32" s="53" t="s">
        <v>168</v>
      </c>
      <c r="B32" s="76">
        <f>'Finisher Model - ME Imperial'!S17</f>
        <v>0.99106590262234673</v>
      </c>
      <c r="C32" s="76">
        <f>'Finisher Model - ME Imperial'!S18</f>
        <v>0.99909765999437017</v>
      </c>
      <c r="D32" s="76">
        <f>'Finisher Model - ME Imperial'!S19</f>
        <v>0.98145534358358266</v>
      </c>
      <c r="E32" s="76">
        <f>'Finisher Model - ME Imperial'!S20</f>
        <v>1.0137406723629696</v>
      </c>
      <c r="F32" s="76">
        <f>'Finisher Model - ME Imperial'!S22</f>
        <v>1.1101839646674505</v>
      </c>
      <c r="G32" s="76" t="str">
        <f>'Finisher Model - ME Imperial'!S42</f>
        <v/>
      </c>
      <c r="H32" s="76">
        <f>IF('Finisher Model - ME Imperial'!E11=2,(SUMPRODUCT(B32:C32,B16:C16)/SUM(B16:C16)),IF('Finisher Model - ME Imperial'!E11=3,(SUMPRODUCT(B32:D32,B16:D16)/SUM(B16:D16)),IF('Finisher Model - ME Imperial'!E11=4,(SUMPRODUCT(B32:E32,B16:E16)/SUM(B16:E16)),IF('Finisher Model - ME Imperial'!E11=5,(SUMPRODUCT(B32:F32,B16:F16)/SUM(B16:F16)),IF('Finisher Model - ME Imperial'!E11=6,(SUMPRODUCT(B32:G32,B16:G16)/SUM(B16:G16)),"")))))</f>
        <v>1.0229011821090308</v>
      </c>
    </row>
    <row r="33" spans="1:10">
      <c r="A33" t="s">
        <v>169</v>
      </c>
      <c r="B33" s="76">
        <f>73.859-1.19192*H32</f>
        <v>72.639783623020605</v>
      </c>
      <c r="C33" s="5"/>
      <c r="D33" s="5"/>
      <c r="E33" s="5"/>
      <c r="F33" s="5"/>
      <c r="G33" s="5"/>
    </row>
    <row r="34" spans="1:10">
      <c r="A34" t="s">
        <v>171</v>
      </c>
      <c r="B34" s="76">
        <f>73.859-1.19192*1</f>
        <v>72.667079999999999</v>
      </c>
      <c r="C34" s="6"/>
    </row>
    <row r="35" spans="1:10">
      <c r="A35" t="s">
        <v>173</v>
      </c>
      <c r="B35" s="54">
        <f>B33/$B$34</f>
        <v>0.9996243639213328</v>
      </c>
    </row>
    <row r="36" spans="1:10">
      <c r="A36" t="s">
        <v>174</v>
      </c>
      <c r="B36" s="76">
        <f t="shared" ref="B36:G36" si="13">(VLOOKUP($I$19,$C$57:$K$96,9,TRUE))</f>
        <v>73.972202930178625</v>
      </c>
      <c r="C36" s="76">
        <f t="shared" si="13"/>
        <v>73.972202930178625</v>
      </c>
      <c r="D36" s="76">
        <f t="shared" si="13"/>
        <v>73.972202930178625</v>
      </c>
      <c r="E36" s="76">
        <f t="shared" si="13"/>
        <v>73.972202930178625</v>
      </c>
      <c r="F36" s="76">
        <f t="shared" si="13"/>
        <v>73.972202930178625</v>
      </c>
      <c r="G36" s="76">
        <f t="shared" si="13"/>
        <v>73.972202930178625</v>
      </c>
    </row>
    <row r="38" spans="1:10" ht="16.5" thickBot="1"/>
    <row r="39" spans="1:10" ht="16.5" thickBot="1">
      <c r="B39" s="309" t="s">
        <v>69</v>
      </c>
      <c r="C39" s="310"/>
      <c r="D39" s="310"/>
      <c r="E39" s="311"/>
      <c r="J39" t="s">
        <v>166</v>
      </c>
    </row>
    <row r="40" spans="1:10" ht="16.5" thickBot="1">
      <c r="B40" s="309" t="s">
        <v>70</v>
      </c>
      <c r="C40" s="310"/>
      <c r="D40" s="310"/>
      <c r="E40" s="311"/>
      <c r="J40" t="s">
        <v>167</v>
      </c>
    </row>
    <row r="41" spans="1:10" ht="16.5" thickBot="1">
      <c r="B41" s="39" t="s">
        <v>71</v>
      </c>
      <c r="C41" s="39" t="s">
        <v>72</v>
      </c>
      <c r="D41" s="39" t="s">
        <v>73</v>
      </c>
      <c r="E41" s="30"/>
    </row>
    <row r="42" spans="1:10" ht="16.5" thickBot="1">
      <c r="B42" s="40">
        <f>'Finisher Model - ME Imperial'!C15</f>
        <v>50</v>
      </c>
      <c r="C42" s="39">
        <f>IF('Finisher Model - ME Imperial'!$E$11=2,'Finisher Model - ME Imperial'!D16,IF('Finisher Model - ME Imperial'!$E$11=3,'Finisher Model - ME Imperial'!D17,IF('Finisher Model - ME Imperial'!$E$11=4,'Finisher Model - ME Imperial'!D18,IF('Finisher Model - ME Imperial'!$E$11=5,'Finisher Model - ME Imperial'!D19,IF('Finisher Model - ME Imperial'!$E$11=6,'Finisher Model - ME Imperial'!D20,"")))))</f>
        <v>285</v>
      </c>
      <c r="D42" s="45">
        <f>B15</f>
        <v>2.4953353974876964</v>
      </c>
      <c r="E42" s="33"/>
    </row>
    <row r="43" spans="1:10">
      <c r="B43" s="34"/>
      <c r="C43" s="17"/>
      <c r="D43" s="17"/>
      <c r="E43" s="33"/>
    </row>
    <row r="44" spans="1:10">
      <c r="B44" s="35" t="s">
        <v>71</v>
      </c>
      <c r="C44" s="32" t="s">
        <v>72</v>
      </c>
      <c r="D44" s="42" t="s">
        <v>74</v>
      </c>
      <c r="E44" s="36">
        <f>IF(B45=0,F44,((0.00463*B45^2 + 1.68*B45 - 22.05)/(((0.00463*C42^2 + 1.68*C42 - 22.05)-(0.00463*B42^2 + 1.68*B42 - 22.05))/(C42-B42))*D42))</f>
        <v>56.783254700571923</v>
      </c>
    </row>
    <row r="45" spans="1:10">
      <c r="A45">
        <v>1</v>
      </c>
      <c r="B45" s="31">
        <f>'Finisher Model - ME Imperial'!C15</f>
        <v>50</v>
      </c>
      <c r="C45" s="37">
        <f>'Finisher Model - ME Imperial'!D15</f>
        <v>90</v>
      </c>
      <c r="D45" s="43">
        <f>IF(C45="","",(E45-E44))</f>
        <v>71.922624192517645</v>
      </c>
      <c r="E45" s="36">
        <f>IF(B46="","",((0.00463*B46^2 + 1.68*B46 - 22.05)/(((0.00463*$C$42^2 + 1.68*$C$42 - 22.05)-(0.00463*$B$42^2 + 1.68*$B$42 - 22.05))/($C$42-$B$42))*$D$42))</f>
        <v>128.70587889308956</v>
      </c>
    </row>
    <row r="46" spans="1:10">
      <c r="A46">
        <v>2</v>
      </c>
      <c r="B46" s="31">
        <f t="shared" ref="B46:B51" si="14">C45</f>
        <v>90</v>
      </c>
      <c r="C46" s="37">
        <f>'Finisher Model - ME Imperial'!D16</f>
        <v>130</v>
      </c>
      <c r="D46" s="43">
        <f t="shared" ref="D46:D47" si="15">IF(C46="","",(E46-E45))</f>
        <v>83.365000277436735</v>
      </c>
      <c r="E46" s="36">
        <f t="shared" ref="E46:E50" si="16">IF(B47="","",((0.00463*B47^2 + 1.68*B47 - 22.05)/(((0.00463*$C$42^2 + 1.68*$C$42 - 22.05)-(0.00463*$B$42^2 + 1.68*$B$42 - 22.05))/($C$42-$B$42))*$D$42))</f>
        <v>212.0708791705263</v>
      </c>
    </row>
    <row r="47" spans="1:10" ht="17.100000000000001" customHeight="1">
      <c r="A47">
        <v>3</v>
      </c>
      <c r="B47" s="31">
        <f t="shared" si="14"/>
        <v>130</v>
      </c>
      <c r="C47" s="37">
        <f>'Finisher Model - ME Imperial'!D17</f>
        <v>180</v>
      </c>
      <c r="D47" s="43">
        <f t="shared" si="15"/>
        <v>120.29709171621326</v>
      </c>
      <c r="E47" s="36">
        <f t="shared" si="16"/>
        <v>332.36797088673956</v>
      </c>
    </row>
    <row r="48" spans="1:10" ht="18" customHeight="1">
      <c r="A48">
        <v>4</v>
      </c>
      <c r="B48" s="35">
        <f t="shared" si="14"/>
        <v>180</v>
      </c>
      <c r="C48" s="37">
        <f>'Finisher Model - ME Imperial'!D18</f>
        <v>230</v>
      </c>
      <c r="D48" s="43">
        <f>IF(C48="","",(E48-E47))</f>
        <v>138.17580434889948</v>
      </c>
      <c r="E48" s="36">
        <f t="shared" si="16"/>
        <v>470.54377523563903</v>
      </c>
    </row>
    <row r="49" spans="1:11">
      <c r="A49">
        <v>5</v>
      </c>
      <c r="B49" s="31">
        <f t="shared" si="14"/>
        <v>230</v>
      </c>
      <c r="C49" s="37">
        <f>'Finisher Model - ME Imperial'!D19</f>
        <v>285</v>
      </c>
      <c r="D49" s="43">
        <f>IF(C49="","",(E49-E48))</f>
        <v>172.64329787454153</v>
      </c>
      <c r="E49" s="36">
        <f t="shared" si="16"/>
        <v>643.18707311018056</v>
      </c>
    </row>
    <row r="50" spans="1:11" ht="16.5" thickBot="1">
      <c r="A50">
        <v>6</v>
      </c>
      <c r="B50" s="38">
        <f t="shared" si="14"/>
        <v>285</v>
      </c>
      <c r="C50" s="62">
        <f>'Finisher Model - ME Imperial'!D20</f>
        <v>0</v>
      </c>
      <c r="D50" s="63">
        <f>IF(C50="","",(E50-E49))</f>
        <v>-660.21625728083836</v>
      </c>
      <c r="E50" s="66">
        <f t="shared" si="16"/>
        <v>-17.029184170657746</v>
      </c>
    </row>
    <row r="51" spans="1:11">
      <c r="B51" s="3">
        <f t="shared" si="14"/>
        <v>0</v>
      </c>
    </row>
    <row r="55" spans="1:11" ht="90">
      <c r="B55" s="48" t="s">
        <v>92</v>
      </c>
      <c r="C55" s="48" t="s">
        <v>93</v>
      </c>
      <c r="D55" s="78" t="s">
        <v>94</v>
      </c>
      <c r="E55" s="78"/>
      <c r="F55" s="78"/>
      <c r="G55" s="78"/>
      <c r="H55" s="5"/>
      <c r="I55" s="79" t="s">
        <v>95</v>
      </c>
    </row>
    <row r="56" spans="1:11">
      <c r="B56" s="49" t="s">
        <v>96</v>
      </c>
      <c r="C56" s="49" t="s">
        <v>96</v>
      </c>
      <c r="D56" s="49" t="s">
        <v>97</v>
      </c>
      <c r="E56" s="49" t="s">
        <v>98</v>
      </c>
      <c r="F56" s="49" t="s">
        <v>99</v>
      </c>
      <c r="G56" s="49"/>
      <c r="I56" s="80"/>
      <c r="J56" s="49" t="s">
        <v>109</v>
      </c>
      <c r="K56" t="s">
        <v>170</v>
      </c>
    </row>
    <row r="57" spans="1:11">
      <c r="B57" s="48">
        <v>81</v>
      </c>
      <c r="C57" s="50">
        <v>110.17670623134534</v>
      </c>
      <c r="D57" s="6">
        <v>16.864782047899471</v>
      </c>
      <c r="E57" s="6">
        <v>14.510728742835685</v>
      </c>
      <c r="F57" s="50">
        <v>15.687755395367578</v>
      </c>
      <c r="G57" s="50"/>
      <c r="I57" s="52">
        <v>0.73518262408316082</v>
      </c>
      <c r="J57" s="51">
        <f>($B$31*I57)*100</f>
        <v>72.698515797446277</v>
      </c>
      <c r="K57" s="6">
        <f t="shared" ref="K57:K96" si="17">J57*$B$35</f>
        <v>72.671207612047198</v>
      </c>
    </row>
    <row r="58" spans="1:11">
      <c r="B58" s="48">
        <v>82</v>
      </c>
      <c r="C58" s="50">
        <v>111.4039519642067</v>
      </c>
      <c r="D58" s="6">
        <v>17.074455706764272</v>
      </c>
      <c r="E58" s="6">
        <v>14.613701440729169</v>
      </c>
      <c r="F58" s="50">
        <v>15.844078573746721</v>
      </c>
      <c r="G58" s="50"/>
      <c r="H58" s="51"/>
      <c r="I58" s="52">
        <v>0.73606006388665657</v>
      </c>
      <c r="J58" s="51">
        <f t="shared" ref="J58:J96" si="18">($B$31*I58)*100</f>
        <v>72.78528141094985</v>
      </c>
      <c r="K58" s="6">
        <f t="shared" si="17"/>
        <v>72.757940633255956</v>
      </c>
    </row>
    <row r="59" spans="1:11">
      <c r="B59" s="48">
        <v>83</v>
      </c>
      <c r="C59" s="50">
        <v>112.6282752396024</v>
      </c>
      <c r="D59" s="6">
        <v>17.284147265806148</v>
      </c>
      <c r="E59" s="6">
        <v>14.71614342750836</v>
      </c>
      <c r="F59" s="50">
        <v>16.000145346657256</v>
      </c>
      <c r="G59" s="50"/>
      <c r="H59" s="51"/>
      <c r="I59" s="52">
        <v>0.73693750369015243</v>
      </c>
      <c r="J59" s="51">
        <f t="shared" si="18"/>
        <v>72.872047024453437</v>
      </c>
      <c r="K59" s="6">
        <f t="shared" si="17"/>
        <v>72.844673654464714</v>
      </c>
    </row>
    <row r="60" spans="1:11">
      <c r="B60" s="48">
        <v>84</v>
      </c>
      <c r="C60" s="50">
        <v>113.84968648405146</v>
      </c>
      <c r="D60" s="6">
        <v>17.493856510850449</v>
      </c>
      <c r="E60" s="6">
        <v>14.81806378371237</v>
      </c>
      <c r="F60" s="50">
        <v>16.155960147281409</v>
      </c>
      <c r="G60" s="50"/>
      <c r="H60" s="51"/>
      <c r="I60" s="52">
        <v>0.73781494349364829</v>
      </c>
      <c r="J60" s="51">
        <f t="shared" si="18"/>
        <v>72.958812637957024</v>
      </c>
      <c r="K60" s="6">
        <f t="shared" si="17"/>
        <v>72.931406675673486</v>
      </c>
    </row>
    <row r="61" spans="1:11">
      <c r="B61" s="48">
        <v>85</v>
      </c>
      <c r="C61" s="50">
        <v>115.06819607453319</v>
      </c>
      <c r="D61" s="6">
        <v>17.703583232804778</v>
      </c>
      <c r="E61" s="6">
        <v>14.919471328516645</v>
      </c>
      <c r="F61" s="50">
        <v>16.311527280660712</v>
      </c>
      <c r="G61" s="50"/>
      <c r="H61" s="51"/>
      <c r="I61" s="52">
        <v>0.73869238329714404</v>
      </c>
      <c r="J61" s="51">
        <f t="shared" si="18"/>
        <v>73.045578251460597</v>
      </c>
      <c r="K61" s="6">
        <f t="shared" si="17"/>
        <v>73.018139696882244</v>
      </c>
    </row>
    <row r="62" spans="1:11">
      <c r="B62" s="48">
        <v>86</v>
      </c>
      <c r="C62" s="50">
        <v>116.28381433878111</v>
      </c>
      <c r="D62" s="6">
        <v>17.913327227479776</v>
      </c>
      <c r="E62" s="6">
        <v>15.020374630235036</v>
      </c>
      <c r="F62" s="50">
        <v>16.466850928857404</v>
      </c>
      <c r="G62" s="50"/>
      <c r="H62" s="50"/>
      <c r="I62" s="52">
        <v>0.7395698231006399</v>
      </c>
      <c r="J62" s="51">
        <f t="shared" si="18"/>
        <v>73.132343864964184</v>
      </c>
      <c r="K62" s="6">
        <f t="shared" si="17"/>
        <v>73.104872718091002</v>
      </c>
    </row>
    <row r="63" spans="1:11">
      <c r="B63" s="48">
        <v>87</v>
      </c>
      <c r="C63" s="50">
        <v>117.49655155557477</v>
      </c>
      <c r="D63" s="6">
        <v>18.123088295418643</v>
      </c>
      <c r="E63" s="6">
        <v>15.120782016283018</v>
      </c>
      <c r="F63" s="50">
        <v>16.621935155850831</v>
      </c>
      <c r="G63" s="50"/>
      <c r="H63" s="50"/>
      <c r="I63" s="52">
        <v>0.74044726290413565</v>
      </c>
      <c r="J63" s="51">
        <f t="shared" si="18"/>
        <v>73.219109478467757</v>
      </c>
      <c r="K63" s="6">
        <f t="shared" si="17"/>
        <v>73.19160573929976</v>
      </c>
    </row>
    <row r="64" spans="1:11">
      <c r="B64" s="48">
        <v>88</v>
      </c>
      <c r="C64" s="50">
        <v>118.70641795502937</v>
      </c>
      <c r="D64" s="6">
        <v>18.332866241734184</v>
      </c>
      <c r="E64" s="6">
        <v>15.220701582635391</v>
      </c>
      <c r="F64" s="50">
        <v>16.776783912184786</v>
      </c>
      <c r="G64" s="50"/>
      <c r="H64" s="50"/>
      <c r="I64" s="52">
        <v>0.74132470270763151</v>
      </c>
      <c r="J64" s="51">
        <f t="shared" si="18"/>
        <v>73.305875091971345</v>
      </c>
      <c r="K64" s="6">
        <f t="shared" si="17"/>
        <v>73.278338760508532</v>
      </c>
    </row>
    <row r="65" spans="2:11">
      <c r="B65" s="48">
        <v>89</v>
      </c>
      <c r="C65" s="50">
        <v>119.91342371888354</v>
      </c>
      <c r="D65" s="6">
        <v>18.542660875953423</v>
      </c>
      <c r="E65" s="6">
        <v>15.320141202809715</v>
      </c>
      <c r="F65" s="50">
        <v>16.931401039381569</v>
      </c>
      <c r="G65" s="50"/>
      <c r="H65" s="50"/>
      <c r="I65" s="52">
        <v>0.74220214251112737</v>
      </c>
      <c r="J65" s="51">
        <f t="shared" si="18"/>
        <v>73.392640705474932</v>
      </c>
      <c r="K65" s="6">
        <f t="shared" si="17"/>
        <v>73.36507178171729</v>
      </c>
    </row>
    <row r="66" spans="2:11">
      <c r="B66" s="5">
        <v>90</v>
      </c>
      <c r="C66" s="50">
        <v>121.11757898078487</v>
      </c>
      <c r="D66" s="6">
        <v>18.752472011869195</v>
      </c>
      <c r="E66" s="6">
        <v>15.419108536404257</v>
      </c>
      <c r="F66" s="50">
        <v>17.085790274136727</v>
      </c>
      <c r="G66" s="50"/>
      <c r="H66" s="6"/>
      <c r="I66" s="52">
        <v>0.74307958231462312</v>
      </c>
      <c r="J66" s="51">
        <f t="shared" si="18"/>
        <v>73.479406318978519</v>
      </c>
      <c r="K66" s="6">
        <f t="shared" si="17"/>
        <v>73.451804802926063</v>
      </c>
    </row>
    <row r="67" spans="2:11">
      <c r="B67" s="5">
        <v>91</v>
      </c>
      <c r="C67" s="50">
        <v>122.31889382657351</v>
      </c>
      <c r="D67" s="6">
        <v>18.962299467398132</v>
      </c>
      <c r="E67" s="6">
        <v>15.517611037217174</v>
      </c>
      <c r="F67" s="50">
        <v>17.239955252307652</v>
      </c>
      <c r="G67" s="50"/>
      <c r="H67" s="6"/>
      <c r="I67" s="52">
        <v>0.74395702211811898</v>
      </c>
      <c r="J67" s="51">
        <f t="shared" si="18"/>
        <v>73.566171932482092</v>
      </c>
      <c r="K67" s="6">
        <f t="shared" si="17"/>
        <v>73.538537824134821</v>
      </c>
    </row>
    <row r="68" spans="2:11">
      <c r="B68" s="5">
        <v>92</v>
      </c>
      <c r="C68" s="50">
        <v>123.51737829456385</v>
      </c>
      <c r="D68" s="6">
        <v>19.172143064445141</v>
      </c>
      <c r="E68" s="6">
        <v>15.615655960971905</v>
      </c>
      <c r="F68" s="50">
        <v>17.393899512708522</v>
      </c>
      <c r="G68" s="50"/>
      <c r="H68" s="6"/>
      <c r="I68" s="52">
        <v>0.74483446192161473</v>
      </c>
      <c r="J68" s="51">
        <f t="shared" si="18"/>
        <v>73.652937545985679</v>
      </c>
      <c r="K68" s="6">
        <f t="shared" si="17"/>
        <v>73.625270845343579</v>
      </c>
    </row>
    <row r="69" spans="2:11">
      <c r="B69" s="5">
        <v>93</v>
      </c>
      <c r="C69" s="50">
        <v>124.71304237582397</v>
      </c>
      <c r="D69" s="6">
        <v>19.382002628773577</v>
      </c>
      <c r="E69" s="6">
        <v>15.713250372671933</v>
      </c>
      <c r="F69" s="50">
        <v>17.547626500722757</v>
      </c>
      <c r="G69" s="50"/>
      <c r="H69" s="6"/>
      <c r="I69" s="52">
        <v>0.74571190172511059</v>
      </c>
      <c r="J69" s="51">
        <f t="shared" si="18"/>
        <v>73.739703159489252</v>
      </c>
      <c r="K69" s="6">
        <f t="shared" si="17"/>
        <v>73.712003866552337</v>
      </c>
    </row>
    <row r="70" spans="2:11">
      <c r="B70" s="5">
        <v>94</v>
      </c>
      <c r="C70" s="50">
        <v>125.90589601445348</v>
      </c>
      <c r="D70" s="6">
        <v>19.591877989881006</v>
      </c>
      <c r="E70" s="6">
        <v>15.81040115360647</v>
      </c>
      <c r="F70" s="50">
        <v>17.701139571743738</v>
      </c>
      <c r="G70" s="50"/>
      <c r="H70" s="6"/>
      <c r="I70" s="52">
        <v>0.74658934152860634</v>
      </c>
      <c r="J70" s="51">
        <f t="shared" si="18"/>
        <v>73.82646877299284</v>
      </c>
      <c r="K70" s="6">
        <f t="shared" si="17"/>
        <v>73.798736887761109</v>
      </c>
    </row>
    <row r="71" spans="2:11">
      <c r="B71" s="5">
        <v>95</v>
      </c>
      <c r="C71" s="50">
        <v>127.09594910785896</v>
      </c>
      <c r="D71" s="6">
        <v>19.80176898088045</v>
      </c>
      <c r="E71" s="6">
        <v>15.907115008027194</v>
      </c>
      <c r="F71" s="50">
        <v>17.854441994453822</v>
      </c>
      <c r="G71" s="50"/>
      <c r="H71" s="6"/>
      <c r="I71" s="52">
        <v>0.7474667813321022</v>
      </c>
      <c r="J71" s="51">
        <f t="shared" si="18"/>
        <v>73.913234386496413</v>
      </c>
      <c r="K71" s="6">
        <f t="shared" si="17"/>
        <v>73.885469908969853</v>
      </c>
    </row>
    <row r="72" spans="2:11">
      <c r="B72" s="5">
        <v>96</v>
      </c>
      <c r="C72" s="50">
        <v>128.28321150702794</v>
      </c>
      <c r="D72" s="6">
        <v>20.011675438386312</v>
      </c>
      <c r="E72" s="6">
        <v>16.003398469514622</v>
      </c>
      <c r="F72" s="50">
        <v>18.007536953950467</v>
      </c>
      <c r="G72" s="50"/>
      <c r="H72" s="6"/>
      <c r="I72" s="52">
        <v>0.74834422113559795</v>
      </c>
      <c r="J72" s="51">
        <f t="shared" si="18"/>
        <v>74</v>
      </c>
      <c r="K72" s="6">
        <f t="shared" si="17"/>
        <v>73.972202930178625</v>
      </c>
    </row>
    <row r="73" spans="2:11">
      <c r="B73" s="5">
        <v>97</v>
      </c>
      <c r="C73" s="50">
        <v>129.46769301680052</v>
      </c>
      <c r="D73" s="6">
        <v>20.221597202405267</v>
      </c>
      <c r="E73" s="6">
        <v>16.099257907051943</v>
      </c>
      <c r="F73" s="50">
        <v>18.160427554728606</v>
      </c>
      <c r="G73" s="50"/>
      <c r="H73" s="6"/>
      <c r="I73" s="52">
        <v>0.74922166093909381</v>
      </c>
      <c r="J73" s="51">
        <f t="shared" si="18"/>
        <v>74.086765613503587</v>
      </c>
      <c r="K73" s="6">
        <f t="shared" si="17"/>
        <v>74.058935951387397</v>
      </c>
    </row>
    <row r="74" spans="2:11">
      <c r="B74" s="5">
        <v>98</v>
      </c>
      <c r="C74" s="50">
        <v>130.64940339613941</v>
      </c>
      <c r="D74" s="6">
        <v>20.43153411623155</v>
      </c>
      <c r="E74" s="6">
        <v>16.194699530822238</v>
      </c>
      <c r="F74" s="50">
        <v>18.313116823526894</v>
      </c>
      <c r="G74" s="50"/>
      <c r="H74" s="6"/>
      <c r="I74" s="52">
        <v>0.75009910074258968</v>
      </c>
      <c r="J74" s="51">
        <f t="shared" si="18"/>
        <v>74.173531227007174</v>
      </c>
      <c r="K74" s="6">
        <f t="shared" si="17"/>
        <v>74.14566897259617</v>
      </c>
    </row>
    <row r="75" spans="2:11">
      <c r="B75" s="5">
        <v>99</v>
      </c>
      <c r="C75" s="50">
        <v>131.82835235839786</v>
      </c>
      <c r="D75" s="6">
        <v>20.641486026346577</v>
      </c>
      <c r="E75" s="6">
        <v>16.289729397744711</v>
      </c>
      <c r="F75" s="50">
        <v>18.465607712045646</v>
      </c>
      <c r="G75" s="50"/>
      <c r="H75" s="6"/>
      <c r="I75" s="52">
        <v>0.75097654054608542</v>
      </c>
      <c r="J75" s="51">
        <f t="shared" si="18"/>
        <v>74.260296840510748</v>
      </c>
      <c r="K75" s="6">
        <f t="shared" si="17"/>
        <v>74.232401993804913</v>
      </c>
    </row>
    <row r="76" spans="2:11">
      <c r="B76" s="5">
        <v>100</v>
      </c>
      <c r="C76" s="50">
        <v>133.00454957158581</v>
      </c>
      <c r="D76" s="6">
        <v>20.851452782322603</v>
      </c>
      <c r="E76" s="6">
        <v>16.384353416763961</v>
      </c>
      <c r="F76" s="50">
        <v>18.617903099543284</v>
      </c>
      <c r="G76" s="50"/>
      <c r="H76" s="6"/>
      <c r="I76" s="52">
        <v>0.75185398034958129</v>
      </c>
      <c r="J76" s="51">
        <f t="shared" si="18"/>
        <v>74.347062454014335</v>
      </c>
      <c r="K76" s="6">
        <f t="shared" si="17"/>
        <v>74.319135015013686</v>
      </c>
    </row>
    <row r="77" spans="2:11">
      <c r="B77" s="5">
        <v>101</v>
      </c>
      <c r="C77" s="50">
        <v>134.17800465863434</v>
      </c>
      <c r="D77" s="6">
        <v>21.061434236730111</v>
      </c>
      <c r="E77" s="6">
        <v>16.478577353905742</v>
      </c>
      <c r="F77" s="50">
        <v>18.770005795317928</v>
      </c>
      <c r="G77" s="50"/>
      <c r="H77" s="6"/>
      <c r="I77" s="52">
        <v>0.75273142015307704</v>
      </c>
      <c r="J77" s="51">
        <f t="shared" si="18"/>
        <v>74.433828067517908</v>
      </c>
      <c r="K77" s="6">
        <f t="shared" si="17"/>
        <v>74.405868036222444</v>
      </c>
    </row>
    <row r="78" spans="2:11">
      <c r="B78" s="5">
        <v>102</v>
      </c>
      <c r="C78" s="50">
        <v>135.34872719765769</v>
      </c>
      <c r="D78" s="6">
        <v>21.27143024504899</v>
      </c>
      <c r="E78" s="6">
        <v>16.572406837111849</v>
      </c>
      <c r="F78" s="50">
        <v>18.921918541080419</v>
      </c>
      <c r="G78" s="50"/>
      <c r="H78" s="6"/>
      <c r="I78" s="52">
        <v>0.7536088599565729</v>
      </c>
      <c r="J78" s="51">
        <f t="shared" si="18"/>
        <v>74.520593681021495</v>
      </c>
      <c r="K78" s="6">
        <f t="shared" si="17"/>
        <v>74.492601057431202</v>
      </c>
    </row>
    <row r="79" spans="2:11">
      <c r="B79" s="5">
        <v>103</v>
      </c>
      <c r="C79" s="50">
        <v>136.51672672221434</v>
      </c>
      <c r="D79" s="6">
        <v>21.481440665583278</v>
      </c>
      <c r="E79" s="6">
        <v>16.665847360865602</v>
      </c>
      <c r="F79" s="50">
        <v>19.073644013224438</v>
      </c>
      <c r="G79" s="50"/>
      <c r="H79" s="6"/>
      <c r="I79" s="52">
        <v>0.75448629976006876</v>
      </c>
      <c r="J79" s="51">
        <f t="shared" si="18"/>
        <v>74.607359294525082</v>
      </c>
      <c r="K79" s="6">
        <f t="shared" si="17"/>
        <v>74.579334078639974</v>
      </c>
    </row>
    <row r="80" spans="2:11">
      <c r="B80" s="5">
        <v>104</v>
      </c>
      <c r="C80" s="50">
        <v>137.68201272156554</v>
      </c>
      <c r="D80" s="6">
        <v>21.69146535937886</v>
      </c>
      <c r="E80" s="6">
        <v>16.758904290619089</v>
      </c>
      <c r="F80" s="50">
        <v>19.225184824998976</v>
      </c>
      <c r="G80" s="50"/>
      <c r="H80" s="6"/>
      <c r="I80" s="52">
        <v>0.75536373956356451</v>
      </c>
      <c r="J80" s="51">
        <f t="shared" si="18"/>
        <v>74.694124908028655</v>
      </c>
      <c r="K80" s="6">
        <f t="shared" si="17"/>
        <v>74.666067099848732</v>
      </c>
    </row>
    <row r="81" spans="2:11">
      <c r="B81" s="5">
        <v>105</v>
      </c>
      <c r="C81" s="50">
        <v>138.84459464093223</v>
      </c>
      <c r="D81" s="6">
        <v>21.901504190144763</v>
      </c>
      <c r="E81" s="6">
        <v>16.851582867032572</v>
      </c>
      <c r="F81" s="50">
        <v>19.37654352858867</v>
      </c>
      <c r="G81" s="50"/>
      <c r="H81" s="6"/>
      <c r="I81" s="52">
        <v>0.75624117936706026</v>
      </c>
      <c r="J81" s="51">
        <f t="shared" si="18"/>
        <v>74.780890521532228</v>
      </c>
      <c r="K81" s="6">
        <f t="shared" si="17"/>
        <v>74.752800121057476</v>
      </c>
    </row>
    <row r="82" spans="2:11">
      <c r="B82" s="5">
        <v>106</v>
      </c>
      <c r="C82" s="50">
        <v>140.00448188175039</v>
      </c>
      <c r="D82" s="6">
        <v>22.111557024177106</v>
      </c>
      <c r="E82" s="6">
        <v>16.943888210035503</v>
      </c>
      <c r="F82" s="50">
        <v>19.527722617106306</v>
      </c>
      <c r="G82" s="50"/>
      <c r="H82" s="6"/>
      <c r="I82" s="52">
        <v>0.75711861917055612</v>
      </c>
      <c r="J82" s="51">
        <f t="shared" si="18"/>
        <v>74.867656135035816</v>
      </c>
      <c r="K82" s="6">
        <f t="shared" si="17"/>
        <v>74.839533142266248</v>
      </c>
    </row>
    <row r="83" spans="2:11">
      <c r="B83" s="5">
        <v>107</v>
      </c>
      <c r="C83" s="50">
        <v>141.16168380192445</v>
      </c>
      <c r="D83" s="6">
        <v>22.321623730286092</v>
      </c>
      <c r="E83" s="6">
        <v>17.035825322718448</v>
      </c>
      <c r="F83" s="50">
        <v>19.678724526502272</v>
      </c>
      <c r="G83" s="50"/>
      <c r="H83" s="6"/>
      <c r="I83" s="52">
        <v>0.75799605897405198</v>
      </c>
      <c r="J83" s="51">
        <f t="shared" si="18"/>
        <v>74.954421748539403</v>
      </c>
      <c r="K83" s="6">
        <f t="shared" si="17"/>
        <v>74.92626616347502</v>
      </c>
    </row>
    <row r="84" spans="2:11">
      <c r="B84" s="5">
        <v>108</v>
      </c>
      <c r="C84" s="50">
        <v>142.31620971607887</v>
      </c>
      <c r="D84" s="6">
        <v>22.531704179725708</v>
      </c>
      <c r="E84" s="6">
        <v>17.127399095064437</v>
      </c>
      <c r="F84" s="50">
        <v>19.82955163739507</v>
      </c>
      <c r="G84" s="50"/>
      <c r="H84" s="6"/>
      <c r="I84" s="52">
        <v>0.75887349877754773</v>
      </c>
      <c r="J84" s="51">
        <f t="shared" si="18"/>
        <v>75.041187362042976</v>
      </c>
      <c r="K84" s="6">
        <f t="shared" si="17"/>
        <v>75.012999184683764</v>
      </c>
    </row>
    <row r="85" spans="2:11">
      <c r="B85" s="5">
        <v>109</v>
      </c>
      <c r="C85" s="50">
        <v>143.46806889580807</v>
      </c>
      <c r="D85" s="6">
        <v>22.741798246125917</v>
      </c>
      <c r="E85" s="6">
        <v>17.218614307527691</v>
      </c>
      <c r="F85" s="50">
        <v>19.980206276826806</v>
      </c>
      <c r="G85" s="50"/>
      <c r="H85" s="6"/>
      <c r="I85" s="52">
        <v>0.75975093858104359</v>
      </c>
      <c r="J85" s="51">
        <f t="shared" si="18"/>
        <v>75.127952975546563</v>
      </c>
      <c r="K85" s="6">
        <f t="shared" si="17"/>
        <v>75.099732205892536</v>
      </c>
    </row>
    <row r="86" spans="2:11">
      <c r="B86" s="5">
        <v>110</v>
      </c>
      <c r="C86" s="50">
        <v>144.61727056992473</v>
      </c>
      <c r="D86" s="6">
        <v>22.951905805427518</v>
      </c>
      <c r="E86" s="6">
        <v>17.309475634467464</v>
      </c>
      <c r="F86" s="50">
        <v>20.130690719947491</v>
      </c>
      <c r="G86" s="50"/>
      <c r="H86" s="6"/>
      <c r="I86" s="52">
        <v>0.76062837838453934</v>
      </c>
      <c r="J86" s="51">
        <f t="shared" si="18"/>
        <v>75.21471858905015</v>
      </c>
      <c r="K86" s="6">
        <f t="shared" si="17"/>
        <v>75.186465227101309</v>
      </c>
    </row>
    <row r="87" spans="2:11">
      <c r="B87" s="5">
        <v>111</v>
      </c>
      <c r="C87" s="50">
        <v>145.76382392470609</v>
      </c>
      <c r="D87" s="6">
        <v>23.162026735819119</v>
      </c>
      <c r="E87" s="6">
        <v>17.399987647444007</v>
      </c>
      <c r="F87" s="50">
        <v>20.281007191631563</v>
      </c>
      <c r="G87" s="50"/>
      <c r="H87" s="6"/>
      <c r="I87" s="52">
        <v>0.7615058181880352</v>
      </c>
      <c r="J87" s="51">
        <f t="shared" si="18"/>
        <v>75.301484202553723</v>
      </c>
      <c r="K87" s="6">
        <f t="shared" si="17"/>
        <v>75.273198248310052</v>
      </c>
    </row>
    <row r="88" spans="2:11">
      <c r="B88" s="5">
        <v>112</v>
      </c>
      <c r="C88" s="50">
        <v>146.9077381041389</v>
      </c>
      <c r="D88" s="6">
        <v>23.372160917676677</v>
      </c>
      <c r="E88" s="6">
        <v>17.49015481838342</v>
      </c>
      <c r="F88" s="50">
        <v>20.431157868030049</v>
      </c>
      <c r="G88" s="50"/>
      <c r="H88" s="6"/>
      <c r="I88" s="52">
        <v>0.76238325799153106</v>
      </c>
      <c r="J88" s="51">
        <f t="shared" si="18"/>
        <v>75.388249816057311</v>
      </c>
      <c r="K88" s="6">
        <f t="shared" si="17"/>
        <v>75.359931269518825</v>
      </c>
    </row>
    <row r="89" spans="2:11">
      <c r="B89" s="5">
        <v>113</v>
      </c>
      <c r="C89" s="50">
        <v>148.04902221016243</v>
      </c>
      <c r="D89" s="6">
        <v>23.582308233504943</v>
      </c>
      <c r="E89" s="6">
        <v>17.579981522617746</v>
      </c>
      <c r="F89" s="50">
        <v>20.581144878061345</v>
      </c>
      <c r="G89" s="50"/>
      <c r="H89" s="6"/>
      <c r="I89" s="52">
        <v>0.76326069779502681</v>
      </c>
      <c r="J89" s="51">
        <f t="shared" si="18"/>
        <v>75.475015429560884</v>
      </c>
      <c r="K89" s="6">
        <f t="shared" si="17"/>
        <v>75.446664290727583</v>
      </c>
    </row>
    <row r="90" spans="2:11">
      <c r="B90" s="5">
        <v>114</v>
      </c>
      <c r="C90" s="50">
        <v>149.18768530290981</v>
      </c>
      <c r="D90" s="6">
        <v>23.792468567881055</v>
      </c>
      <c r="E90" s="6">
        <v>17.66947204180623</v>
      </c>
      <c r="F90" s="50">
        <v>20.730970304843645</v>
      </c>
      <c r="G90" s="50"/>
      <c r="H90" s="6"/>
      <c r="I90" s="52">
        <v>0.76413813759852267</v>
      </c>
      <c r="J90" s="51">
        <f t="shared" si="18"/>
        <v>75.561781043064471</v>
      </c>
      <c r="K90" s="6">
        <f t="shared" si="17"/>
        <v>75.533397311936341</v>
      </c>
    </row>
    <row r="91" spans="2:11">
      <c r="B91" s="5">
        <v>115</v>
      </c>
      <c r="C91" s="50">
        <v>150.32373640094792</v>
      </c>
      <c r="D91" s="6">
        <v>24.002641807400256</v>
      </c>
      <c r="E91" s="6">
        <v>17.758630566743491</v>
      </c>
      <c r="F91" s="50">
        <v>20.880636187071872</v>
      </c>
      <c r="G91" s="50"/>
      <c r="H91" s="6"/>
      <c r="I91" s="52">
        <v>0.76501557740201842</v>
      </c>
      <c r="J91" s="51">
        <f t="shared" si="18"/>
        <v>75.648546656568044</v>
      </c>
      <c r="K91" s="6">
        <f t="shared" si="17"/>
        <v>75.620130333145099</v>
      </c>
    </row>
    <row r="92" spans="2:11">
      <c r="B92" s="5">
        <v>116</v>
      </c>
      <c r="C92" s="50">
        <v>151.45718448151536</v>
      </c>
      <c r="D92" s="6">
        <v>24.212827840623181</v>
      </c>
      <c r="E92" s="6">
        <v>17.847461200059801</v>
      </c>
      <c r="F92" s="50">
        <v>21.030144520341491</v>
      </c>
      <c r="G92" s="50"/>
      <c r="H92" s="6"/>
      <c r="I92" s="52">
        <v>0.76589301720551428</v>
      </c>
      <c r="J92" s="51">
        <f t="shared" si="18"/>
        <v>75.735312270071631</v>
      </c>
      <c r="K92" s="6">
        <f t="shared" si="17"/>
        <v>75.706863354353871</v>
      </c>
    </row>
    <row r="93" spans="2:11">
      <c r="B93" s="5">
        <v>117</v>
      </c>
      <c r="C93" s="50">
        <v>152.58803848075902</v>
      </c>
      <c r="D93" s="6">
        <v>24.423026558025349</v>
      </c>
      <c r="E93" s="6">
        <v>17.935967958818601</v>
      </c>
      <c r="F93" s="50">
        <v>21.179497258421975</v>
      </c>
      <c r="G93" s="50"/>
      <c r="H93" s="6"/>
      <c r="I93" s="52">
        <v>0.76677045700901003</v>
      </c>
      <c r="J93" s="51">
        <f t="shared" si="18"/>
        <v>75.822077883575218</v>
      </c>
      <c r="K93" s="6">
        <f t="shared" si="17"/>
        <v>75.793596375562629</v>
      </c>
    </row>
    <row r="94" spans="2:11">
      <c r="B94" s="5">
        <v>118</v>
      </c>
      <c r="C94" s="50">
        <v>153.71630729396878</v>
      </c>
      <c r="D94" s="6">
        <v>24.633237851947925</v>
      </c>
      <c r="E94" s="6">
        <v>18.024154777015983</v>
      </c>
      <c r="F94" s="50">
        <v>21.328696314481952</v>
      </c>
      <c r="G94" s="50"/>
      <c r="H94" s="6"/>
      <c r="I94" s="52">
        <v>0.76764789681250589</v>
      </c>
      <c r="J94" s="51">
        <f t="shared" si="18"/>
        <v>75.908843497078792</v>
      </c>
      <c r="K94" s="6">
        <f t="shared" si="17"/>
        <v>75.880329396771387</v>
      </c>
    </row>
    <row r="95" spans="2:11">
      <c r="B95" s="5">
        <v>119</v>
      </c>
      <c r="C95" s="50">
        <v>154.84199977581099</v>
      </c>
      <c r="D95" s="6">
        <v>24.843461616550663</v>
      </c>
      <c r="E95" s="6">
        <v>18.112025507986587</v>
      </c>
      <c r="F95" s="50">
        <v>21.477743562268625</v>
      </c>
      <c r="G95" s="50"/>
      <c r="H95" s="6"/>
      <c r="I95" s="52">
        <v>0.76852533661600164</v>
      </c>
      <c r="J95" s="51">
        <f t="shared" si="18"/>
        <v>75.995609110582379</v>
      </c>
      <c r="K95" s="6">
        <f t="shared" si="17"/>
        <v>75.967062417980159</v>
      </c>
    </row>
    <row r="96" spans="2:11">
      <c r="B96" s="5">
        <v>120</v>
      </c>
      <c r="C96" s="50">
        <v>155.96512474055984</v>
      </c>
      <c r="D96" s="6">
        <v>25.053697747765945</v>
      </c>
      <c r="E96" s="6">
        <v>18.199583926720305</v>
      </c>
      <c r="F96" s="50">
        <v>21.626640837243123</v>
      </c>
      <c r="G96" s="50"/>
      <c r="H96" s="6"/>
      <c r="I96" s="52">
        <v>0.7694027764194975</v>
      </c>
      <c r="J96" s="51">
        <f t="shared" si="18"/>
        <v>76.082374724085952</v>
      </c>
      <c r="K96" s="6">
        <f t="shared" si="17"/>
        <v>76.053795439188903</v>
      </c>
    </row>
  </sheetData>
  <mergeCells count="6">
    <mergeCell ref="B40:E40"/>
    <mergeCell ref="A1:O1"/>
    <mergeCell ref="A2:A4"/>
    <mergeCell ref="B2:G3"/>
    <mergeCell ref="J2:K3"/>
    <mergeCell ref="B39:E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STTD P Energy equation</vt:lpstr>
      <vt:lpstr>NRC 2012</vt:lpstr>
      <vt:lpstr>Finisher Model - NE Imperial</vt:lpstr>
      <vt:lpstr>Current Performance - NE </vt:lpstr>
      <vt:lpstr>FW - Projected Performance - NE</vt:lpstr>
      <vt:lpstr>FT - Projected Performance - NE</vt:lpstr>
      <vt:lpstr>Finisher Model - ME Imperial</vt:lpstr>
      <vt:lpstr>Current Performance - ME</vt:lpstr>
      <vt:lpstr>FW - Projected Performance - ME</vt:lpstr>
      <vt:lpstr>FT - Projected Performance - 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Lexi Marek Beeler</cp:lastModifiedBy>
  <dcterms:created xsi:type="dcterms:W3CDTF">2019-01-31T16:22:09Z</dcterms:created>
  <dcterms:modified xsi:type="dcterms:W3CDTF">2021-11-29T21:41:34Z</dcterms:modified>
</cp:coreProperties>
</file>