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nlu\Dropbox\Material PIC\Tools\@SHARED TOOLS\PIC NUTRITION TOOLS\5. PIC NUTRIENT RECOMMENDATIONS FOR DEVELOPING GILTS\"/>
    </mc:Choice>
  </mc:AlternateContent>
  <xr:revisionPtr revIDLastSave="0" documentId="13_ncr:1_{3DD84CF2-8F07-433D-9287-159D9B428A36}" xr6:coauthVersionLast="44" xr6:coauthVersionMax="46" xr10:uidLastSave="{00000000-0000-0000-0000-000000000000}"/>
  <workbookProtection workbookAlgorithmName="SHA-512" workbookHashValue="vSUVc0mgUZwUfw3Fu56bD4K8LCIAw4J/cLuxYGeLZnIWEbh/8sa1X06qLRxlbV/9XzqNGP40llFDpxlbx0GcsA==" workbookSaltValue="OwDf8+/cHHF/s2ySVClGFQ==" workbookSpinCount="100000" lockStructure="1"/>
  <bookViews>
    <workbookView xWindow="28680" yWindow="-120" windowWidth="29040" windowHeight="15840" activeTab="1" xr2:uid="{00000000-000D-0000-FFFF-FFFF00000000}"/>
  </bookViews>
  <sheets>
    <sheet name="Intruction" sheetId="14" r:id="rId1"/>
    <sheet name="Imperial - ME" sheetId="10" r:id="rId2"/>
    <sheet name="AA ratios - Imperial" sheetId="13" state="hidden" r:id="rId3"/>
    <sheet name="Metric - ME" sheetId="11" r:id="rId4"/>
    <sheet name="AA ratios - Metric" sheetId="12" state="hidden" r:id="rId5"/>
  </sheets>
  <definedNames>
    <definedName name="ID" localSheetId="0" hidden="1">"2239f8ac-7138-4b5a-a0fc-2ae1b6222ae8"</definedName>
    <definedName name="_xlnm.Print_Area" localSheetId="0">Intruction!$A$1:$P$68</definedName>
    <definedName name="solver_adj" localSheetId="1" hidden="1">'Imperial - ME'!#REF!</definedName>
    <definedName name="solver_adj" localSheetId="3" hidden="1">'Metric - ME'!#REF!</definedName>
    <definedName name="solver_cvg" localSheetId="1" hidden="1">0.0001</definedName>
    <definedName name="solver_cvg" localSheetId="3" hidden="1">0.0001</definedName>
    <definedName name="solver_drv" localSheetId="1" hidden="1">1</definedName>
    <definedName name="solver_drv" localSheetId="3" hidden="1">1</definedName>
    <definedName name="solver_est" localSheetId="1" hidden="1">1</definedName>
    <definedName name="solver_est" localSheetId="3" hidden="1">1</definedName>
    <definedName name="solver_itr" localSheetId="1" hidden="1">100</definedName>
    <definedName name="solver_itr" localSheetId="3" hidden="1">100</definedName>
    <definedName name="solver_lhs1" localSheetId="1" hidden="1">'Imperial - ME'!#REF!</definedName>
    <definedName name="solver_lhs1" localSheetId="3" hidden="1">'Metric - ME'!#REF!</definedName>
    <definedName name="solver_lhs2" localSheetId="1" hidden="1">'Imperial - ME'!#REF!</definedName>
    <definedName name="solver_lhs2" localSheetId="3" hidden="1">'Metric - ME'!#REF!</definedName>
    <definedName name="solver_lin" localSheetId="1" hidden="1">2</definedName>
    <definedName name="solver_lin" localSheetId="3" hidden="1">2</definedName>
    <definedName name="solver_neg" localSheetId="1" hidden="1">2</definedName>
    <definedName name="solver_neg" localSheetId="3" hidden="1">2</definedName>
    <definedName name="solver_num" localSheetId="1" hidden="1">2</definedName>
    <definedName name="solver_num" localSheetId="3" hidden="1">2</definedName>
    <definedName name="solver_nwt" localSheetId="1" hidden="1">1</definedName>
    <definedName name="solver_nwt" localSheetId="3" hidden="1">1</definedName>
    <definedName name="solver_opt" localSheetId="1" hidden="1">'Imperial - ME'!#REF!</definedName>
    <definedName name="solver_opt" localSheetId="3" hidden="1">'Metric - ME'!#REF!</definedName>
    <definedName name="solver_pre" localSheetId="1" hidden="1">0.000001</definedName>
    <definedName name="solver_pre" localSheetId="3" hidden="1">0.000001</definedName>
    <definedName name="solver_rel1" localSheetId="1" hidden="1">2</definedName>
    <definedName name="solver_rel1" localSheetId="3" hidden="1">2</definedName>
    <definedName name="solver_rel2" localSheetId="1" hidden="1">2</definedName>
    <definedName name="solver_rel2" localSheetId="3" hidden="1">2</definedName>
    <definedName name="solver_rhs1" localSheetId="1" hidden="1">0</definedName>
    <definedName name="solver_rhs1" localSheetId="3" hidden="1">0</definedName>
    <definedName name="solver_rhs2" localSheetId="1" hidden="1">0</definedName>
    <definedName name="solver_rhs2" localSheetId="3" hidden="1">0</definedName>
    <definedName name="solver_scl" localSheetId="1" hidden="1">2</definedName>
    <definedName name="solver_scl" localSheetId="3" hidden="1">2</definedName>
    <definedName name="solver_sho" localSheetId="1" hidden="1">2</definedName>
    <definedName name="solver_sho" localSheetId="3" hidden="1">2</definedName>
    <definedName name="solver_tim" localSheetId="1" hidden="1">100</definedName>
    <definedName name="solver_tim" localSheetId="3" hidden="1">100</definedName>
    <definedName name="solver_tol" localSheetId="1" hidden="1">0.05</definedName>
    <definedName name="solver_tol" localSheetId="3" hidden="1">0.05</definedName>
    <definedName name="solver_typ" localSheetId="1" hidden="1">2</definedName>
    <definedName name="solver_typ" localSheetId="3" hidden="1">2</definedName>
    <definedName name="solver_val" localSheetId="1" hidden="1">0</definedName>
    <definedName name="solver_val" localSheetId="3" hidden="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8" i="11" l="1"/>
  <c r="I28" i="11"/>
  <c r="H28" i="11"/>
  <c r="G28" i="11"/>
  <c r="F28" i="11"/>
  <c r="E28" i="11"/>
  <c r="J27" i="11"/>
  <c r="I27" i="11"/>
  <c r="H27" i="11"/>
  <c r="G27" i="11"/>
  <c r="F27" i="11"/>
  <c r="E27" i="11"/>
  <c r="J26" i="11"/>
  <c r="I26" i="11"/>
  <c r="H26" i="11"/>
  <c r="G26" i="11"/>
  <c r="F26" i="11"/>
  <c r="E26" i="11"/>
  <c r="J25" i="11"/>
  <c r="I25" i="11"/>
  <c r="H25" i="11"/>
  <c r="G25" i="11"/>
  <c r="F25" i="11"/>
  <c r="E25" i="11"/>
  <c r="J24" i="11"/>
  <c r="I24" i="11"/>
  <c r="H24" i="11"/>
  <c r="G24" i="11"/>
  <c r="F24" i="11"/>
  <c r="E24" i="11"/>
  <c r="J23" i="11"/>
  <c r="I23" i="11"/>
  <c r="H23" i="11"/>
  <c r="G23" i="11"/>
  <c r="F23" i="11"/>
  <c r="E23" i="11"/>
  <c r="J22" i="11"/>
  <c r="I22" i="11"/>
  <c r="H22" i="11"/>
  <c r="G22" i="11"/>
  <c r="F22" i="11"/>
  <c r="E22" i="11"/>
  <c r="J21" i="11"/>
  <c r="I21" i="11"/>
  <c r="H21" i="11"/>
  <c r="G21" i="11"/>
  <c r="F21" i="11"/>
  <c r="E21" i="11"/>
  <c r="J20" i="11"/>
  <c r="I20" i="11"/>
  <c r="H20" i="11"/>
  <c r="G20" i="11"/>
  <c r="F20" i="11"/>
  <c r="E20" i="11"/>
  <c r="J35" i="11" l="1"/>
  <c r="I35" i="11"/>
  <c r="G35" i="11"/>
  <c r="J33" i="11"/>
  <c r="I33" i="11"/>
  <c r="G33" i="11"/>
  <c r="G33" i="10"/>
  <c r="J33" i="10"/>
  <c r="K33" i="10"/>
  <c r="G35" i="10"/>
  <c r="J35" i="10"/>
  <c r="K35" i="10"/>
  <c r="K34" i="11"/>
  <c r="L34" i="11"/>
  <c r="M34" i="11"/>
  <c r="M33" i="11" s="1"/>
  <c r="M32" i="11" s="1"/>
  <c r="K35" i="11"/>
  <c r="K37" i="11" s="1"/>
  <c r="L35" i="11"/>
  <c r="L37" i="11" s="1"/>
  <c r="M35" i="11"/>
  <c r="L33" i="10"/>
  <c r="M33" i="10"/>
  <c r="L35" i="10"/>
  <c r="L37" i="10" s="1"/>
  <c r="M35" i="10"/>
  <c r="M37" i="10" s="1"/>
  <c r="L33" i="11" l="1"/>
  <c r="L32" i="11" s="1"/>
  <c r="K33" i="11"/>
  <c r="E50" i="10"/>
  <c r="F50" i="10"/>
  <c r="G50" i="10"/>
  <c r="H50" i="10"/>
  <c r="I50" i="10"/>
  <c r="J50" i="10"/>
  <c r="E51" i="10"/>
  <c r="F51" i="10"/>
  <c r="G51" i="10"/>
  <c r="H51" i="10"/>
  <c r="I51" i="10"/>
  <c r="J51" i="10"/>
  <c r="E52" i="10"/>
  <c r="F52" i="10"/>
  <c r="G52" i="10"/>
  <c r="H52" i="10"/>
  <c r="I52" i="10"/>
  <c r="J52" i="10"/>
  <c r="E53" i="10"/>
  <c r="F53" i="10"/>
  <c r="G53" i="10"/>
  <c r="H53" i="10"/>
  <c r="I53" i="10"/>
  <c r="J53" i="10"/>
  <c r="E54" i="10"/>
  <c r="F54" i="10"/>
  <c r="G54" i="10"/>
  <c r="H54" i="10"/>
  <c r="I54" i="10"/>
  <c r="J54" i="10"/>
  <c r="E55" i="10"/>
  <c r="F55" i="10"/>
  <c r="G55" i="10"/>
  <c r="H55" i="10"/>
  <c r="I55" i="10"/>
  <c r="J55" i="10"/>
  <c r="E56" i="10"/>
  <c r="F56" i="10"/>
  <c r="G56" i="10"/>
  <c r="H56" i="10"/>
  <c r="I56" i="10"/>
  <c r="J56" i="10"/>
  <c r="E57" i="10"/>
  <c r="F57" i="10"/>
  <c r="G57" i="10"/>
  <c r="H57" i="10"/>
  <c r="I57" i="10"/>
  <c r="J57" i="10"/>
  <c r="E58" i="10"/>
  <c r="F58" i="10"/>
  <c r="G58" i="10"/>
  <c r="H58" i="10"/>
  <c r="I58" i="10"/>
  <c r="J58" i="10"/>
  <c r="E59" i="10"/>
  <c r="F59" i="10"/>
  <c r="G59" i="10"/>
  <c r="H59" i="10"/>
  <c r="I59" i="10"/>
  <c r="J59" i="10"/>
  <c r="E60" i="10"/>
  <c r="F60" i="10"/>
  <c r="G60" i="10"/>
  <c r="H60" i="10"/>
  <c r="I60" i="10"/>
  <c r="J60" i="10"/>
  <c r="E61" i="10"/>
  <c r="F61" i="10"/>
  <c r="G61" i="10"/>
  <c r="H61" i="10"/>
  <c r="I61" i="10"/>
  <c r="J61" i="10"/>
  <c r="E62" i="10"/>
  <c r="F62" i="10"/>
  <c r="G62" i="10"/>
  <c r="H62" i="10"/>
  <c r="I62" i="10"/>
  <c r="J62" i="10"/>
  <c r="D62" i="10"/>
  <c r="D61" i="10"/>
  <c r="D60" i="10"/>
  <c r="D59" i="10"/>
  <c r="D58" i="10"/>
  <c r="D57" i="10"/>
  <c r="D56" i="10"/>
  <c r="D55" i="10"/>
  <c r="D54" i="10"/>
  <c r="D53" i="10"/>
  <c r="D52" i="10"/>
  <c r="D51" i="10"/>
  <c r="D50" i="10"/>
  <c r="G40" i="11" l="1"/>
  <c r="I40" i="11"/>
  <c r="J40" i="11"/>
  <c r="D28" i="11"/>
  <c r="D27" i="11"/>
  <c r="D26" i="11"/>
  <c r="D25" i="11"/>
  <c r="D24" i="11"/>
  <c r="D23" i="11"/>
  <c r="D22" i="11"/>
  <c r="D21" i="11"/>
  <c r="D20" i="11"/>
  <c r="E20" i="10"/>
  <c r="F20" i="10"/>
  <c r="G20" i="10"/>
  <c r="H20" i="10"/>
  <c r="I20" i="10"/>
  <c r="J20" i="10"/>
  <c r="K20" i="10"/>
  <c r="E21" i="10"/>
  <c r="F21" i="10"/>
  <c r="G21" i="10"/>
  <c r="H21" i="10"/>
  <c r="I21" i="10"/>
  <c r="J21" i="10"/>
  <c r="K21" i="10"/>
  <c r="E22" i="10"/>
  <c r="F22" i="10"/>
  <c r="G22" i="10"/>
  <c r="H22" i="10"/>
  <c r="I22" i="10"/>
  <c r="J22" i="10"/>
  <c r="K22" i="10"/>
  <c r="E23" i="10"/>
  <c r="F23" i="10"/>
  <c r="G23" i="10"/>
  <c r="H23" i="10"/>
  <c r="I23" i="10"/>
  <c r="J23" i="10"/>
  <c r="K23" i="10"/>
  <c r="E24" i="10"/>
  <c r="F24" i="10"/>
  <c r="G24" i="10"/>
  <c r="H24" i="10"/>
  <c r="I24" i="10"/>
  <c r="J24" i="10"/>
  <c r="K24" i="10"/>
  <c r="E25" i="10"/>
  <c r="F25" i="10"/>
  <c r="G25" i="10"/>
  <c r="H25" i="10"/>
  <c r="I25" i="10"/>
  <c r="J25" i="10"/>
  <c r="K25" i="10"/>
  <c r="E26" i="10"/>
  <c r="F26" i="10"/>
  <c r="G26" i="10"/>
  <c r="H26" i="10"/>
  <c r="I26" i="10"/>
  <c r="J26" i="10"/>
  <c r="K26" i="10"/>
  <c r="E27" i="10"/>
  <c r="F27" i="10"/>
  <c r="G27" i="10"/>
  <c r="H27" i="10"/>
  <c r="I27" i="10"/>
  <c r="J27" i="10"/>
  <c r="K27" i="10"/>
  <c r="E28" i="10"/>
  <c r="F28" i="10"/>
  <c r="G28" i="10"/>
  <c r="H28" i="10"/>
  <c r="I28" i="10"/>
  <c r="J28" i="10"/>
  <c r="K28" i="10"/>
  <c r="D28" i="10"/>
  <c r="D27" i="10"/>
  <c r="D26" i="10"/>
  <c r="D25" i="10"/>
  <c r="D24" i="10"/>
  <c r="D23" i="10"/>
  <c r="D22" i="10"/>
  <c r="D21" i="10"/>
  <c r="D20" i="10"/>
  <c r="D41" i="10" l="1"/>
  <c r="E41" i="10"/>
  <c r="F41" i="10"/>
  <c r="G41" i="10"/>
  <c r="H41" i="10"/>
  <c r="I41" i="10"/>
  <c r="J41" i="10"/>
  <c r="E41" i="11"/>
  <c r="F41" i="11"/>
  <c r="G41" i="11"/>
  <c r="H41" i="11"/>
  <c r="I41" i="11"/>
  <c r="J41" i="11"/>
  <c r="D41" i="11"/>
  <c r="K41" i="10" l="1"/>
  <c r="K41" i="11"/>
  <c r="K20" i="11" l="1"/>
  <c r="K21" i="11"/>
  <c r="K22" i="11"/>
  <c r="K23" i="11"/>
  <c r="K24" i="11"/>
  <c r="K25" i="11"/>
  <c r="K26" i="11"/>
  <c r="K27" i="11"/>
  <c r="K28" i="11"/>
  <c r="U22" i="12" l="1"/>
  <c r="T22" i="12"/>
  <c r="S22" i="12"/>
  <c r="R22" i="12"/>
  <c r="N12" i="13" l="1"/>
  <c r="N11" i="13"/>
  <c r="N10" i="13"/>
  <c r="N9" i="13"/>
  <c r="N8" i="13"/>
  <c r="N7" i="13"/>
  <c r="N8" i="12"/>
  <c r="N9" i="12"/>
  <c r="N10" i="12"/>
  <c r="N11" i="12"/>
  <c r="N12" i="12"/>
  <c r="N7" i="12"/>
  <c r="G38" i="11" l="1"/>
  <c r="I38" i="11"/>
  <c r="J38" i="11"/>
  <c r="K38" i="11"/>
  <c r="K55" i="10" l="1"/>
  <c r="E7" i="11" l="1"/>
  <c r="F7" i="11"/>
  <c r="G7" i="11"/>
  <c r="H7" i="11"/>
  <c r="I7" i="11"/>
  <c r="J7" i="11"/>
  <c r="K7" i="11"/>
  <c r="D7" i="11"/>
  <c r="E6" i="11"/>
  <c r="F6" i="11"/>
  <c r="G6" i="11"/>
  <c r="H6" i="11"/>
  <c r="I6" i="11"/>
  <c r="J6" i="11"/>
  <c r="K6" i="11"/>
  <c r="D6" i="11"/>
  <c r="K19" i="11"/>
  <c r="E10" i="11"/>
  <c r="F10" i="11"/>
  <c r="G10" i="11"/>
  <c r="H10" i="11"/>
  <c r="I10" i="11"/>
  <c r="J10" i="11"/>
  <c r="K10" i="11"/>
  <c r="D10" i="11"/>
  <c r="E9" i="11"/>
  <c r="F9" i="11"/>
  <c r="G9" i="11"/>
  <c r="G36" i="11" s="1"/>
  <c r="G37" i="11" s="1"/>
  <c r="H9" i="11"/>
  <c r="H35" i="11" s="1"/>
  <c r="H36" i="11" s="1"/>
  <c r="H37" i="11" s="1"/>
  <c r="I9" i="11"/>
  <c r="I36" i="11" s="1"/>
  <c r="I37" i="11" s="1"/>
  <c r="J9" i="11"/>
  <c r="J36" i="11" s="1"/>
  <c r="J37" i="11" s="1"/>
  <c r="K9" i="11"/>
  <c r="D9" i="11"/>
  <c r="K17" i="11"/>
  <c r="K18" i="11" s="1"/>
  <c r="K16" i="11"/>
  <c r="F35" i="11" l="1"/>
  <c r="F36" i="11" s="1"/>
  <c r="F37" i="11" s="1"/>
  <c r="E35" i="11"/>
  <c r="E36" i="11"/>
  <c r="E37" i="11" s="1"/>
  <c r="D35" i="11"/>
  <c r="D36" i="11" s="1"/>
  <c r="D37" i="11" s="1"/>
  <c r="D46" i="11"/>
  <c r="D45" i="11"/>
  <c r="D44" i="11"/>
  <c r="D47" i="11"/>
  <c r="J17" i="11"/>
  <c r="J18" i="11" s="1"/>
  <c r="J44" i="11"/>
  <c r="J47" i="11"/>
  <c r="J43" i="11"/>
  <c r="J48" i="11"/>
  <c r="J45" i="11"/>
  <c r="J46" i="11"/>
  <c r="J50" i="11"/>
  <c r="J56" i="11"/>
  <c r="J62" i="11"/>
  <c r="J51" i="11"/>
  <c r="J54" i="11"/>
  <c r="J57" i="11"/>
  <c r="J60" i="11"/>
  <c r="J53" i="11"/>
  <c r="J59" i="11"/>
  <c r="J52" i="11"/>
  <c r="J55" i="11"/>
  <c r="J58" i="11"/>
  <c r="J61" i="11"/>
  <c r="H43" i="11"/>
  <c r="H46" i="11"/>
  <c r="H48" i="11"/>
  <c r="H44" i="11"/>
  <c r="H47" i="11"/>
  <c r="H45" i="11"/>
  <c r="F43" i="11"/>
  <c r="F46" i="11"/>
  <c r="F47" i="11"/>
  <c r="F48" i="11"/>
  <c r="F44" i="11"/>
  <c r="F45" i="11"/>
  <c r="G17" i="11"/>
  <c r="G18" i="11" s="1"/>
  <c r="G44" i="11"/>
  <c r="G47" i="11"/>
  <c r="G46" i="11"/>
  <c r="G45" i="11"/>
  <c r="G48" i="11"/>
  <c r="G43" i="11"/>
  <c r="G50" i="11"/>
  <c r="G56" i="11"/>
  <c r="G62" i="11"/>
  <c r="G52" i="11"/>
  <c r="G54" i="11"/>
  <c r="G61" i="11"/>
  <c r="G51" i="11"/>
  <c r="G57" i="11"/>
  <c r="G58" i="11"/>
  <c r="G60" i="11"/>
  <c r="G55" i="11"/>
  <c r="G53" i="11"/>
  <c r="G59" i="11"/>
  <c r="E48" i="11"/>
  <c r="E46" i="11"/>
  <c r="E44" i="11"/>
  <c r="E47" i="11"/>
  <c r="E45" i="11"/>
  <c r="E43" i="11"/>
  <c r="I48" i="11"/>
  <c r="I43" i="11"/>
  <c r="I46" i="11"/>
  <c r="I45" i="11"/>
  <c r="I44" i="11"/>
  <c r="I47" i="11"/>
  <c r="I51" i="11"/>
  <c r="I54" i="11"/>
  <c r="I57" i="11"/>
  <c r="I60" i="11"/>
  <c r="I52" i="11"/>
  <c r="I58" i="11"/>
  <c r="I56" i="11"/>
  <c r="I55" i="11"/>
  <c r="I61" i="11"/>
  <c r="I53" i="11"/>
  <c r="I59" i="11"/>
  <c r="I50" i="11"/>
  <c r="I62" i="11"/>
  <c r="H53" i="11"/>
  <c r="H57" i="11"/>
  <c r="H61" i="11"/>
  <c r="H51" i="11"/>
  <c r="H56" i="11"/>
  <c r="H50" i="11"/>
  <c r="H54" i="11"/>
  <c r="H58" i="11"/>
  <c r="H62" i="11"/>
  <c r="H55" i="11"/>
  <c r="H59" i="11"/>
  <c r="H52" i="11"/>
  <c r="H60" i="11"/>
  <c r="E56" i="11"/>
  <c r="E62" i="11"/>
  <c r="E51" i="11"/>
  <c r="E59" i="11"/>
  <c r="E54" i="11"/>
  <c r="E57" i="11"/>
  <c r="E52" i="11"/>
  <c r="E60" i="11"/>
  <c r="E55" i="11"/>
  <c r="E50" i="11"/>
  <c r="E58" i="11"/>
  <c r="E53" i="11"/>
  <c r="E61" i="11"/>
  <c r="F53" i="11"/>
  <c r="F55" i="11"/>
  <c r="F57" i="11"/>
  <c r="F61" i="11"/>
  <c r="F51" i="11"/>
  <c r="F59" i="11"/>
  <c r="F50" i="11"/>
  <c r="F62" i="11"/>
  <c r="F56" i="11"/>
  <c r="F60" i="11"/>
  <c r="F52" i="11"/>
  <c r="F58" i="11"/>
  <c r="F54" i="11"/>
  <c r="D17" i="11"/>
  <c r="D18" i="11" s="1"/>
  <c r="D57" i="11"/>
  <c r="D56" i="11"/>
  <c r="D54" i="11"/>
  <c r="D55" i="11"/>
  <c r="D62" i="11"/>
  <c r="D53" i="11"/>
  <c r="D61" i="11"/>
  <c r="D52" i="11"/>
  <c r="D60" i="11"/>
  <c r="D51" i="11"/>
  <c r="D50" i="11"/>
  <c r="D58" i="11"/>
  <c r="D59" i="11"/>
  <c r="D43" i="11"/>
  <c r="I17" i="11"/>
  <c r="I18" i="11" s="1"/>
  <c r="F17" i="11"/>
  <c r="F18" i="11" s="1"/>
  <c r="K45" i="11"/>
  <c r="K55" i="11"/>
  <c r="K56" i="11"/>
  <c r="K57" i="11"/>
  <c r="K59" i="11"/>
  <c r="K50" i="11"/>
  <c r="K54" i="11"/>
  <c r="K60" i="11"/>
  <c r="K51" i="11"/>
  <c r="K61" i="11"/>
  <c r="K52" i="11"/>
  <c r="K62" i="11"/>
  <c r="K53" i="11"/>
  <c r="E17" i="11"/>
  <c r="E18" i="11" s="1"/>
  <c r="K48" i="11"/>
  <c r="K46" i="11"/>
  <c r="K44" i="11"/>
  <c r="K43" i="11"/>
  <c r="K47" i="11"/>
  <c r="K15" i="11"/>
  <c r="H17" i="11"/>
  <c r="H18" i="11" s="1"/>
  <c r="D48" i="11"/>
  <c r="D8" i="11"/>
  <c r="D16" i="11" s="1"/>
  <c r="D15" i="11" l="1"/>
  <c r="D2" i="11"/>
  <c r="K17" i="10" l="1"/>
  <c r="K18" i="10" s="1"/>
  <c r="K58" i="11"/>
  <c r="K40" i="11"/>
  <c r="K31" i="11"/>
  <c r="J31" i="11"/>
  <c r="I31" i="11"/>
  <c r="H31" i="11"/>
  <c r="G31" i="11"/>
  <c r="F31" i="11"/>
  <c r="E31" i="11"/>
  <c r="D31" i="11"/>
  <c r="K30" i="11"/>
  <c r="J30" i="11"/>
  <c r="I30" i="11"/>
  <c r="H30" i="11"/>
  <c r="G30" i="11"/>
  <c r="F30" i="11"/>
  <c r="E30" i="11"/>
  <c r="D30" i="11"/>
  <c r="K11" i="11"/>
  <c r="K32" i="11" s="1"/>
  <c r="J11" i="11"/>
  <c r="J34" i="11" s="1"/>
  <c r="J32" i="11" s="1"/>
  <c r="I11" i="11"/>
  <c r="I34" i="11" s="1"/>
  <c r="I32" i="11" s="1"/>
  <c r="H11" i="11"/>
  <c r="F11" i="11"/>
  <c r="F33" i="11" s="1"/>
  <c r="F34" i="11" s="1"/>
  <c r="F32" i="11" s="1"/>
  <c r="E11" i="11"/>
  <c r="E33" i="11" s="1"/>
  <c r="E34" i="11" s="1"/>
  <c r="E32" i="11" s="1"/>
  <c r="D11" i="11"/>
  <c r="K62" i="10"/>
  <c r="K61" i="10"/>
  <c r="K60" i="10"/>
  <c r="K59" i="10"/>
  <c r="K58" i="10"/>
  <c r="K57" i="10"/>
  <c r="K56" i="10"/>
  <c r="K54" i="10"/>
  <c r="K53" i="10"/>
  <c r="K52" i="10"/>
  <c r="K51" i="10"/>
  <c r="K50" i="10"/>
  <c r="K30" i="10"/>
  <c r="E31" i="10"/>
  <c r="F31" i="10"/>
  <c r="G31" i="10"/>
  <c r="H31" i="10"/>
  <c r="I31" i="10"/>
  <c r="J31" i="10"/>
  <c r="K31" i="10"/>
  <c r="D31" i="10"/>
  <c r="E30" i="10"/>
  <c r="F30" i="10"/>
  <c r="G30" i="10"/>
  <c r="H30" i="10"/>
  <c r="I30" i="10"/>
  <c r="J30" i="10"/>
  <c r="D30" i="10"/>
  <c r="H33" i="11" l="1"/>
  <c r="H34" i="11" s="1"/>
  <c r="H32" i="11" s="1"/>
  <c r="D33" i="11"/>
  <c r="D34" i="11" s="1"/>
  <c r="D32" i="11" s="1"/>
  <c r="E39" i="11"/>
  <c r="D14" i="11"/>
  <c r="D13" i="11" s="1"/>
  <c r="D19" i="11" s="1"/>
  <c r="G11" i="11"/>
  <c r="G34" i="11" s="1"/>
  <c r="G32" i="11" s="1"/>
  <c r="K39" i="11"/>
  <c r="K14" i="11"/>
  <c r="K13" i="11" s="1"/>
  <c r="E8" i="11"/>
  <c r="I8" i="11"/>
  <c r="F8" i="11"/>
  <c r="J8" i="11"/>
  <c r="H8" i="11"/>
  <c r="G8" i="11"/>
  <c r="K8" i="11"/>
  <c r="K40" i="10"/>
  <c r="K38" i="10"/>
  <c r="D38" i="11" l="1"/>
  <c r="D39" i="11"/>
  <c r="H38" i="11"/>
  <c r="F39" i="11"/>
  <c r="F40" i="11" s="1"/>
  <c r="E40" i="11"/>
  <c r="H16" i="11"/>
  <c r="J16" i="11"/>
  <c r="E16" i="11"/>
  <c r="I16" i="11"/>
  <c r="G16" i="11"/>
  <c r="F16" i="11"/>
  <c r="D40" i="11"/>
  <c r="J39" i="11"/>
  <c r="I39" i="11"/>
  <c r="E7" i="10"/>
  <c r="F7" i="10"/>
  <c r="G7" i="10"/>
  <c r="H7" i="10"/>
  <c r="I7" i="10"/>
  <c r="J7" i="10"/>
  <c r="K7" i="10"/>
  <c r="D7" i="10"/>
  <c r="E6" i="10"/>
  <c r="F6" i="10"/>
  <c r="G6" i="10"/>
  <c r="H6" i="10"/>
  <c r="I6" i="10"/>
  <c r="J6" i="10"/>
  <c r="K6" i="10"/>
  <c r="D6" i="10"/>
  <c r="D17" i="10" l="1"/>
  <c r="D18" i="10" s="1"/>
  <c r="D45" i="10"/>
  <c r="D44" i="10"/>
  <c r="D43" i="10"/>
  <c r="D47" i="10"/>
  <c r="D46" i="10"/>
  <c r="F44" i="10"/>
  <c r="F43" i="10"/>
  <c r="F45" i="10"/>
  <c r="F46" i="10"/>
  <c r="F47" i="10"/>
  <c r="F48" i="10"/>
  <c r="J43" i="10"/>
  <c r="J44" i="10"/>
  <c r="J45" i="10"/>
  <c r="J46" i="10"/>
  <c r="J47" i="10"/>
  <c r="J48" i="10"/>
  <c r="E43" i="10"/>
  <c r="E44" i="10"/>
  <c r="E45" i="10"/>
  <c r="E46" i="10"/>
  <c r="E47" i="10"/>
  <c r="E48" i="10"/>
  <c r="I44" i="10"/>
  <c r="I43" i="10"/>
  <c r="I45" i="10"/>
  <c r="I46" i="10"/>
  <c r="I47" i="10"/>
  <c r="I48" i="10"/>
  <c r="H43" i="10"/>
  <c r="H44" i="10"/>
  <c r="H45" i="10"/>
  <c r="H46" i="10"/>
  <c r="H47" i="10"/>
  <c r="H48" i="10"/>
  <c r="G43" i="10"/>
  <c r="G44" i="10"/>
  <c r="G45" i="10"/>
  <c r="G46" i="10"/>
  <c r="G47" i="10"/>
  <c r="G48" i="10"/>
  <c r="F38" i="11"/>
  <c r="H39" i="11"/>
  <c r="H40" i="11" s="1"/>
  <c r="E38" i="11"/>
  <c r="G39" i="11"/>
  <c r="I15" i="11"/>
  <c r="I14" i="11" s="1"/>
  <c r="I2" i="11"/>
  <c r="J15" i="11"/>
  <c r="J14" i="11" s="1"/>
  <c r="J2" i="11"/>
  <c r="H15" i="11"/>
  <c r="H14" i="11" s="1"/>
  <c r="H2" i="11"/>
  <c r="G15" i="11"/>
  <c r="G14" i="11" s="1"/>
  <c r="G2" i="11"/>
  <c r="F15" i="11"/>
  <c r="F14" i="11" s="1"/>
  <c r="F2" i="11"/>
  <c r="E15" i="11"/>
  <c r="E2" i="11"/>
  <c r="B64" i="11"/>
  <c r="C64" i="11" s="1"/>
  <c r="K44" i="10"/>
  <c r="K46" i="10"/>
  <c r="K48" i="10"/>
  <c r="K43" i="10"/>
  <c r="K45" i="10"/>
  <c r="K47" i="10"/>
  <c r="D48" i="10"/>
  <c r="I8" i="10"/>
  <c r="I17" i="10"/>
  <c r="I18" i="10" s="1"/>
  <c r="E8" i="10"/>
  <c r="E17" i="10"/>
  <c r="E18" i="10" s="1"/>
  <c r="D8" i="10"/>
  <c r="D16" i="10" s="1"/>
  <c r="H8" i="10"/>
  <c r="H17" i="10"/>
  <c r="H18" i="10" s="1"/>
  <c r="G8" i="10"/>
  <c r="G17" i="10"/>
  <c r="G18" i="10" s="1"/>
  <c r="J8" i="10"/>
  <c r="J17" i="10"/>
  <c r="J18" i="10" s="1"/>
  <c r="F8" i="10"/>
  <c r="F17" i="10"/>
  <c r="F18" i="10" s="1"/>
  <c r="K8" i="10"/>
  <c r="K16" i="10"/>
  <c r="K15" i="10" s="1"/>
  <c r="D15" i="10" l="1"/>
  <c r="E14" i="11"/>
  <c r="E13" i="11" s="1"/>
  <c r="E19" i="11" s="1"/>
  <c r="H13" i="11"/>
  <c r="H19" i="11" s="1"/>
  <c r="J19" i="11"/>
  <c r="J13" i="11"/>
  <c r="I19" i="11"/>
  <c r="I13" i="11"/>
  <c r="G19" i="11"/>
  <c r="G13" i="11"/>
  <c r="F13" i="11"/>
  <c r="F19" i="11" s="1"/>
  <c r="D2" i="10"/>
  <c r="D9" i="10"/>
  <c r="E9" i="10"/>
  <c r="F9" i="10"/>
  <c r="G9" i="10"/>
  <c r="G36" i="10" s="1"/>
  <c r="G37" i="10" s="1"/>
  <c r="H9" i="10"/>
  <c r="I9" i="10"/>
  <c r="J9" i="10"/>
  <c r="J36" i="10" s="1"/>
  <c r="J37" i="10" s="1"/>
  <c r="K9" i="10"/>
  <c r="K36" i="10" s="1"/>
  <c r="K37" i="10" s="1"/>
  <c r="E10" i="10"/>
  <c r="F10" i="10"/>
  <c r="G10" i="10"/>
  <c r="H10" i="10"/>
  <c r="I10" i="10"/>
  <c r="J10" i="10"/>
  <c r="K10" i="10"/>
  <c r="D10" i="10"/>
  <c r="I35" i="10" l="1"/>
  <c r="I36" i="10" s="1"/>
  <c r="I37" i="10" s="1"/>
  <c r="H35" i="10"/>
  <c r="H36" i="10"/>
  <c r="H37" i="10" s="1"/>
  <c r="E35" i="10"/>
  <c r="E36" i="10" s="1"/>
  <c r="E37" i="10" s="1"/>
  <c r="F35" i="10"/>
  <c r="F36" i="10" s="1"/>
  <c r="F37" i="10" s="1"/>
  <c r="D35" i="10"/>
  <c r="D36" i="10" s="1"/>
  <c r="D37" i="10" s="1"/>
  <c r="B66" i="11"/>
  <c r="C66" i="11" s="1"/>
  <c r="J11" i="10"/>
  <c r="J34" i="10" s="1"/>
  <c r="J32" i="10" s="1"/>
  <c r="F11" i="10"/>
  <c r="F33" i="10" s="1"/>
  <c r="K11" i="10"/>
  <c r="K34" i="10" s="1"/>
  <c r="K32" i="10" s="1"/>
  <c r="G11" i="10"/>
  <c r="G34" i="10" s="1"/>
  <c r="G32" i="10" s="1"/>
  <c r="I11" i="10"/>
  <c r="E11" i="10"/>
  <c r="H11" i="10"/>
  <c r="D11" i="10"/>
  <c r="I33" i="10" l="1"/>
  <c r="I34" i="10" s="1"/>
  <c r="I32" i="10" s="1"/>
  <c r="H33" i="10"/>
  <c r="H34" i="10" s="1"/>
  <c r="H32" i="10" s="1"/>
  <c r="E33" i="10"/>
  <c r="E34" i="10" s="1"/>
  <c r="E32" i="10" s="1"/>
  <c r="F34" i="10"/>
  <c r="F32" i="10" s="1"/>
  <c r="D33" i="10"/>
  <c r="D34" i="10" s="1"/>
  <c r="D32" i="10" s="1"/>
  <c r="D39" i="10" s="1"/>
  <c r="D40" i="10" s="1"/>
  <c r="K14" i="10"/>
  <c r="K13" i="10" s="1"/>
  <c r="K39" i="10"/>
  <c r="D14" i="10"/>
  <c r="D13" i="10" s="1"/>
  <c r="D19" i="10" s="1"/>
  <c r="J16" i="10"/>
  <c r="I16" i="10"/>
  <c r="H16" i="10"/>
  <c r="G16" i="10"/>
  <c r="F16" i="10"/>
  <c r="E16" i="10"/>
  <c r="E2" i="10" s="1"/>
  <c r="K19" i="10"/>
  <c r="D38" i="10" l="1"/>
  <c r="G15" i="10"/>
  <c r="G2" i="10"/>
  <c r="H15" i="10"/>
  <c r="H2" i="10"/>
  <c r="F15" i="10"/>
  <c r="F2" i="10"/>
  <c r="I15" i="10"/>
  <c r="I2" i="10"/>
  <c r="J15" i="10"/>
  <c r="J2" i="10"/>
  <c r="E15" i="10"/>
  <c r="E14" i="10" s="1"/>
  <c r="B64" i="10"/>
  <c r="C64" i="10" s="1"/>
  <c r="H39" i="10"/>
  <c r="H40" i="10" s="1"/>
  <c r="H38" i="10"/>
  <c r="F39" i="10"/>
  <c r="F40" i="10" s="1"/>
  <c r="F38" i="10"/>
  <c r="E39" i="10"/>
  <c r="E40" i="10" s="1"/>
  <c r="E38" i="10"/>
  <c r="I39" i="10"/>
  <c r="I40" i="10" s="1"/>
  <c r="I38" i="10"/>
  <c r="G39" i="10"/>
  <c r="G40" i="10" s="1"/>
  <c r="G38" i="10"/>
  <c r="J39" i="10"/>
  <c r="J40" i="10" s="1"/>
  <c r="J38" i="10"/>
  <c r="J14" i="10" l="1"/>
  <c r="J13" i="10" s="1"/>
  <c r="G14" i="10"/>
  <c r="G13" i="10" s="1"/>
  <c r="I14" i="10"/>
  <c r="I13" i="10" s="1"/>
  <c r="F14" i="10"/>
  <c r="F13" i="10" s="1"/>
  <c r="F19" i="10" s="1"/>
  <c r="H14" i="10"/>
  <c r="H13" i="10" s="1"/>
  <c r="H19" i="10" s="1"/>
  <c r="E13" i="10"/>
  <c r="E19" i="10" s="1"/>
  <c r="I19" i="10"/>
  <c r="J19" i="10"/>
  <c r="G19" i="10"/>
  <c r="B66" i="10" l="1"/>
  <c r="C66" i="10" s="1"/>
</calcChain>
</file>

<file path=xl/sharedStrings.xml><?xml version="1.0" encoding="utf-8"?>
<sst xmlns="http://schemas.openxmlformats.org/spreadsheetml/2006/main" count="259" uniqueCount="94">
  <si>
    <t>Weight In, kg</t>
  </si>
  <si>
    <t>Weight Out, kg</t>
  </si>
  <si>
    <t>Weight Out, lb</t>
  </si>
  <si>
    <t>Weight In, lb</t>
  </si>
  <si>
    <t>Standardized Ileal Digestible amino acids</t>
  </si>
  <si>
    <t>kcal/lb</t>
  </si>
  <si>
    <t>lb</t>
  </si>
  <si>
    <t>Weight In</t>
  </si>
  <si>
    <t>Weight Out</t>
  </si>
  <si>
    <t>g/Mcal</t>
  </si>
  <si>
    <t>Lysine:Calorie ME</t>
  </si>
  <si>
    <t>Lysine</t>
  </si>
  <si>
    <t>%</t>
  </si>
  <si>
    <t>NRC Metabolizable Energy (ME)</t>
  </si>
  <si>
    <t>ITEM</t>
  </si>
  <si>
    <t>UNIT</t>
  </si>
  <si>
    <t>Average</t>
  </si>
  <si>
    <t>Ratio</t>
  </si>
  <si>
    <t>Chloride</t>
  </si>
  <si>
    <t>Zinc</t>
  </si>
  <si>
    <t>Iron</t>
  </si>
  <si>
    <t>Manganese</t>
  </si>
  <si>
    <t>Copper</t>
  </si>
  <si>
    <t>Iodine</t>
  </si>
  <si>
    <t>Selenium</t>
  </si>
  <si>
    <t>Vitamin A</t>
  </si>
  <si>
    <t>Vitamin D</t>
  </si>
  <si>
    <t>Vitamin K</t>
  </si>
  <si>
    <t>Niacin</t>
  </si>
  <si>
    <t>Riboflavin</t>
  </si>
  <si>
    <t>Pantothenic acid</t>
  </si>
  <si>
    <t>Vitamin B12</t>
  </si>
  <si>
    <t>Folic Acid</t>
  </si>
  <si>
    <t>Biotin</t>
  </si>
  <si>
    <t>Thiamine</t>
  </si>
  <si>
    <t>Pyridoxine</t>
  </si>
  <si>
    <t xml:space="preserve">   Methionine + cysteine:Lysine</t>
  </si>
  <si>
    <t xml:space="preserve">   Threonine:Lysine</t>
  </si>
  <si>
    <t xml:space="preserve">   Tryptophan:Lysine</t>
  </si>
  <si>
    <t xml:space="preserve">   Valine:Lysine</t>
  </si>
  <si>
    <t xml:space="preserve">   Isoleucine:Lysine</t>
  </si>
  <si>
    <t xml:space="preserve">   Leucine:Lysine</t>
  </si>
  <si>
    <t xml:space="preserve">   Histidine:Lysine</t>
  </si>
  <si>
    <t xml:space="preserve">   Phenylalanine + tyrosine:Lysine</t>
  </si>
  <si>
    <t>STTD P</t>
  </si>
  <si>
    <t>STTD P:Calorie ME</t>
  </si>
  <si>
    <t>Av. P:Calorie ME</t>
  </si>
  <si>
    <t>Av. P</t>
  </si>
  <si>
    <t>Sodium</t>
  </si>
  <si>
    <t>Minerals</t>
  </si>
  <si>
    <t>L-Lysine-HCl, max.</t>
  </si>
  <si>
    <t>Added trace minerals</t>
  </si>
  <si>
    <t>Added vitamins</t>
  </si>
  <si>
    <t>Vitamin E</t>
  </si>
  <si>
    <t>Choline</t>
  </si>
  <si>
    <t/>
  </si>
  <si>
    <t>ppm</t>
  </si>
  <si>
    <t>per lb diet</t>
  </si>
  <si>
    <t>IU/lb</t>
  </si>
  <si>
    <t>mg/lb</t>
  </si>
  <si>
    <t>mcg/lb</t>
  </si>
  <si>
    <t xml:space="preserve">     Barrows and gilts, 85% initial wt</t>
  </si>
  <si>
    <t xml:space="preserve">     Developing gilts</t>
  </si>
  <si>
    <t>kg</t>
  </si>
  <si>
    <t>kcal/kg</t>
  </si>
  <si>
    <t xml:space="preserve">     Barrows and gilts, correct</t>
  </si>
  <si>
    <t xml:space="preserve">     Barrows and gilts, 100% initial wt</t>
  </si>
  <si>
    <t xml:space="preserve">     Barrows and Gilts, 100% mid wt</t>
  </si>
  <si>
    <t>Weight</t>
  </si>
  <si>
    <t>MetCys</t>
  </si>
  <si>
    <t>Thr</t>
  </si>
  <si>
    <t>Trp</t>
  </si>
  <si>
    <t>Val</t>
  </si>
  <si>
    <t>Ile</t>
  </si>
  <si>
    <t>Leu</t>
  </si>
  <si>
    <t>His</t>
  </si>
  <si>
    <t>Phe</t>
  </si>
  <si>
    <t>LysHcl</t>
  </si>
  <si>
    <t>23-41</t>
  </si>
  <si>
    <t>41-59</t>
  </si>
  <si>
    <t>59-82</t>
  </si>
  <si>
    <t>82-104</t>
  </si>
  <si>
    <t>104-150</t>
  </si>
  <si>
    <t>11-23</t>
  </si>
  <si>
    <t>0.25 0.15 0.13 0.10 0.08</t>
  </si>
  <si>
    <t>Analyzed Ca:analyzed P, range</t>
  </si>
  <si>
    <t>IU/kg</t>
  </si>
  <si>
    <t>mg/kg</t>
  </si>
  <si>
    <t>mcg/kg</t>
  </si>
  <si>
    <t>per kg diet</t>
  </si>
  <si>
    <t xml:space="preserve">     Dev Gilts, 85% initial wt</t>
  </si>
  <si>
    <t xml:space="preserve">     Dev Gilts, 100% initial wt</t>
  </si>
  <si>
    <t xml:space="preserve">     Dev Gilts, 100% mid wt</t>
  </si>
  <si>
    <t xml:space="preserve">     Barrows and Gilts, 100% initial 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</si>
</sst>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6"/>
      <color rgb="FFFF0000"/>
      <name val="Calibri"/>
      <family val="2"/>
      <scheme val="minor"/>
    </font>
    <font>
      <b/>
      <sz val="11"/>
      <color rgb="FFFF0000"/>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
    <border>
      <left/>
      <right/>
      <top/>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0" fillId="0" borderId="0" xfId="0" applyProtection="1">
      <protection hidden="1"/>
    </xf>
    <xf numFmtId="0" fontId="0" fillId="0" borderId="0" xfId="0" applyAlignment="1" applyProtection="1">
      <alignment horizontal="center"/>
      <protection hidden="1"/>
    </xf>
    <xf numFmtId="0" fontId="0" fillId="0" borderId="0" xfId="0" applyBorder="1" applyProtection="1">
      <protection hidden="1"/>
    </xf>
    <xf numFmtId="0" fontId="2" fillId="0" borderId="0" xfId="0" applyFont="1" applyFill="1" applyProtection="1">
      <protection hidden="1"/>
    </xf>
    <xf numFmtId="0" fontId="2" fillId="0" borderId="0" xfId="0" applyFont="1" applyFill="1" applyAlignment="1" applyProtection="1">
      <alignment horizontal="center"/>
      <protection hidden="1"/>
    </xf>
    <xf numFmtId="1" fontId="0" fillId="0" borderId="0" xfId="0" applyNumberFormat="1" applyFill="1" applyBorder="1" applyAlignment="1" applyProtection="1">
      <alignment horizontal="center"/>
      <protection hidden="1"/>
    </xf>
    <xf numFmtId="0" fontId="1" fillId="0" borderId="0" xfId="0" applyFont="1" applyAlignment="1" applyProtection="1">
      <alignment horizontal="center"/>
      <protection hidden="1"/>
    </xf>
    <xf numFmtId="0" fontId="0" fillId="0" borderId="0" xfId="0" applyFont="1" applyAlignment="1" applyProtection="1">
      <alignment horizontal="center"/>
      <protection hidden="1"/>
    </xf>
    <xf numFmtId="0" fontId="0" fillId="0" borderId="0" xfId="0" applyAlignment="1" applyProtection="1">
      <alignment horizontal="left"/>
      <protection hidden="1"/>
    </xf>
    <xf numFmtId="0" fontId="1" fillId="0" borderId="0" xfId="0" applyFont="1" applyAlignment="1" applyProtection="1">
      <alignment horizontal="left"/>
      <protection hidden="1"/>
    </xf>
    <xf numFmtId="0" fontId="0" fillId="0" borderId="0" xfId="0" applyFont="1" applyAlignment="1" applyProtection="1">
      <alignment horizontal="left"/>
      <protection hidden="1"/>
    </xf>
    <xf numFmtId="2" fontId="0" fillId="0" borderId="0" xfId="0" applyNumberFormat="1" applyAlignment="1" applyProtection="1">
      <alignment horizontal="center"/>
      <protection hidden="1"/>
    </xf>
    <xf numFmtId="0" fontId="0" fillId="0" borderId="0" xfId="0" applyBorder="1" applyAlignment="1" applyProtection="1">
      <alignment horizontal="center"/>
      <protection hidden="1"/>
    </xf>
    <xf numFmtId="2" fontId="2" fillId="0" borderId="0" xfId="0" applyNumberFormat="1" applyFont="1" applyFill="1" applyProtection="1">
      <protection hidden="1"/>
    </xf>
    <xf numFmtId="164" fontId="0" fillId="0" borderId="0" xfId="0" applyNumberFormat="1" applyBorder="1" applyAlignment="1" applyProtection="1">
      <alignment horizontal="center"/>
      <protection hidden="1"/>
    </xf>
    <xf numFmtId="0" fontId="0" fillId="0" borderId="0" xfId="0" applyFill="1" applyBorder="1" applyAlignment="1" applyProtection="1">
      <alignment horizontal="center"/>
      <protection hidden="1"/>
    </xf>
    <xf numFmtId="2" fontId="2" fillId="0" borderId="0" xfId="0" applyNumberFormat="1"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2" fontId="0" fillId="0" borderId="0" xfId="0" applyNumberFormat="1" applyBorder="1" applyAlignment="1" applyProtection="1">
      <alignment horizontal="center"/>
      <protection hidden="1"/>
    </xf>
    <xf numFmtId="164" fontId="2" fillId="0" borderId="0" xfId="0" applyNumberFormat="1" applyFont="1" applyFill="1" applyBorder="1" applyAlignment="1" applyProtection="1">
      <alignment horizontal="center"/>
      <protection hidden="1"/>
    </xf>
    <xf numFmtId="1" fontId="2" fillId="0" borderId="0" xfId="0" applyNumberFormat="1" applyFont="1" applyFill="1" applyBorder="1" applyAlignment="1" applyProtection="1">
      <alignment horizontal="center"/>
      <protection hidden="1"/>
    </xf>
    <xf numFmtId="0" fontId="1"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center"/>
      <protection hidden="1"/>
    </xf>
    <xf numFmtId="0" fontId="0" fillId="0" borderId="0" xfId="0" applyBorder="1" applyAlignment="1" applyProtection="1">
      <alignment horizontal="left"/>
      <protection hidden="1"/>
    </xf>
    <xf numFmtId="0" fontId="0" fillId="0" borderId="1" xfId="0" applyBorder="1" applyAlignment="1" applyProtection="1">
      <alignment horizontal="center"/>
      <protection hidden="1"/>
    </xf>
    <xf numFmtId="0" fontId="0" fillId="0" borderId="1" xfId="0" applyBorder="1" applyProtection="1">
      <protection hidden="1"/>
    </xf>
    <xf numFmtId="0" fontId="0" fillId="0" borderId="1" xfId="0" applyFont="1" applyBorder="1" applyAlignment="1" applyProtection="1">
      <alignment horizontal="center"/>
      <protection hidden="1"/>
    </xf>
    <xf numFmtId="0" fontId="2" fillId="0" borderId="1" xfId="0" applyFont="1" applyFill="1" applyBorder="1" applyAlignment="1" applyProtection="1">
      <alignment horizontal="center"/>
      <protection hidden="1"/>
    </xf>
    <xf numFmtId="0" fontId="0" fillId="0" borderId="0" xfId="0" applyFont="1" applyBorder="1" applyAlignment="1" applyProtection="1">
      <alignment horizontal="left"/>
      <protection hidden="1"/>
    </xf>
    <xf numFmtId="0" fontId="0" fillId="0" borderId="1" xfId="0" applyFont="1" applyBorder="1" applyAlignment="1" applyProtection="1">
      <alignment horizontal="left"/>
      <protection hidden="1"/>
    </xf>
    <xf numFmtId="0" fontId="0" fillId="0" borderId="1" xfId="0" applyBorder="1" applyAlignment="1" applyProtection="1">
      <alignment horizontal="left"/>
      <protection hidden="1"/>
    </xf>
    <xf numFmtId="1" fontId="0" fillId="2" borderId="0" xfId="0" applyNumberFormat="1" applyFill="1" applyBorder="1" applyAlignment="1" applyProtection="1">
      <alignment horizontal="center"/>
      <protection locked="0" hidden="1"/>
    </xf>
    <xf numFmtId="1" fontId="0" fillId="2" borderId="1" xfId="0" applyNumberFormat="1" applyFill="1" applyBorder="1" applyAlignment="1" applyProtection="1">
      <alignment horizontal="center"/>
      <protection locked="0" hidden="1"/>
    </xf>
    <xf numFmtId="0" fontId="0" fillId="0" borderId="0" xfId="0" applyAlignment="1">
      <alignment horizontal="center"/>
    </xf>
    <xf numFmtId="1" fontId="0" fillId="0" borderId="0" xfId="0" applyNumberFormat="1"/>
    <xf numFmtId="49" fontId="0" fillId="0" borderId="0" xfId="0" applyNumberFormat="1" applyAlignment="1">
      <alignment horizontal="center"/>
    </xf>
    <xf numFmtId="0" fontId="0" fillId="3" borderId="0" xfId="0" applyFill="1"/>
    <xf numFmtId="0" fontId="0" fillId="0" borderId="0" xfId="0" applyFill="1"/>
    <xf numFmtId="1" fontId="0" fillId="0" borderId="0" xfId="0" applyNumberFormat="1" applyAlignment="1">
      <alignment horizontal="center"/>
    </xf>
    <xf numFmtId="2" fontId="2" fillId="0" borderId="1" xfId="0" applyNumberFormat="1" applyFont="1" applyFill="1" applyBorder="1" applyAlignment="1" applyProtection="1">
      <alignment horizontal="center"/>
      <protection hidden="1"/>
    </xf>
    <xf numFmtId="0" fontId="0" fillId="3" borderId="0" xfId="0" applyFill="1" applyAlignment="1">
      <alignment horizontal="center"/>
    </xf>
    <xf numFmtId="0" fontId="0" fillId="0" borderId="0" xfId="0" applyFill="1" applyAlignment="1">
      <alignment horizontal="center"/>
    </xf>
    <xf numFmtId="1" fontId="0" fillId="2" borderId="0" xfId="0" applyNumberFormat="1" applyFill="1" applyBorder="1" applyAlignment="1" applyProtection="1">
      <alignment horizontal="center"/>
      <protection hidden="1"/>
    </xf>
    <xf numFmtId="1" fontId="0" fillId="2" borderId="1" xfId="0" applyNumberFormat="1" applyFill="1" applyBorder="1" applyAlignment="1" applyProtection="1">
      <alignment horizontal="center"/>
      <protection hidden="1"/>
    </xf>
    <xf numFmtId="1" fontId="0" fillId="2" borderId="0" xfId="0" applyNumberForma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5" fillId="0" borderId="1" xfId="0" applyFont="1" applyBorder="1" applyAlignment="1" applyProtection="1">
      <alignment horizontal="center"/>
      <protection hidden="1"/>
    </xf>
    <xf numFmtId="0" fontId="6" fillId="0" borderId="0" xfId="1"/>
    <xf numFmtId="0" fontId="7" fillId="0" borderId="0" xfId="0" applyFont="1" applyAlignment="1">
      <alignment vertical="top" wrapText="1"/>
    </xf>
    <xf numFmtId="0" fontId="8" fillId="0" borderId="0" xfId="0" applyFont="1"/>
    <xf numFmtId="0" fontId="9" fillId="0" borderId="0" xfId="0" applyFont="1" applyAlignment="1">
      <alignment vertical="top" wrapText="1"/>
    </xf>
    <xf numFmtId="0" fontId="0" fillId="0" borderId="0" xfId="0" applyFill="1" applyAlignment="1" applyProtection="1">
      <alignment horizontal="left"/>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left" wrapText="1"/>
      <protection hidden="1"/>
    </xf>
    <xf numFmtId="0" fontId="3" fillId="0" borderId="0" xfId="0" applyFont="1" applyAlignment="1" applyProtection="1">
      <alignment horizontal="center" vertical="center"/>
      <protection hidden="1"/>
    </xf>
    <xf numFmtId="0" fontId="5" fillId="0" borderId="0" xfId="0" applyFont="1" applyAlignment="1" applyProtection="1">
      <alignment vertical="top" wrapText="1"/>
      <protection hidden="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15</xdr:col>
      <xdr:colOff>191975</xdr:colOff>
      <xdr:row>9</xdr:row>
      <xdr:rowOff>110967</xdr:rowOff>
    </xdr:to>
    <xdr:pic>
      <xdr:nvPicPr>
        <xdr:cNvPr id="2" name="Picture 1">
          <a:extLst>
            <a:ext uri="{FF2B5EF4-FFF2-40B4-BE49-F238E27FC236}">
              <a16:creationId xmlns:a16="http://schemas.microsoft.com/office/drawing/2014/main" id="{9EDFBF17-F63E-4355-A51F-2A43B5466D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38125"/>
          <a:ext cx="9212150" cy="1587342"/>
        </a:xfrm>
        <a:prstGeom prst="rect">
          <a:avLst/>
        </a:prstGeom>
      </xdr:spPr>
    </xdr:pic>
    <xdr:clientData/>
  </xdr:twoCellAnchor>
  <xdr:twoCellAnchor>
    <xdr:from>
      <xdr:col>2</xdr:col>
      <xdr:colOff>369093</xdr:colOff>
      <xdr:row>0</xdr:row>
      <xdr:rowOff>178594</xdr:rowOff>
    </xdr:from>
    <xdr:to>
      <xdr:col>11</xdr:col>
      <xdr:colOff>173343</xdr:colOff>
      <xdr:row>7</xdr:row>
      <xdr:rowOff>10318</xdr:rowOff>
    </xdr:to>
    <xdr:sp macro="" textlink="">
      <xdr:nvSpPr>
        <xdr:cNvPr id="5" name="TextBox 4">
          <a:extLst>
            <a:ext uri="{FF2B5EF4-FFF2-40B4-BE49-F238E27FC236}">
              <a16:creationId xmlns:a16="http://schemas.microsoft.com/office/drawing/2014/main" id="{F14D3E1D-783D-44EE-A1C5-C70098CB13A1}"/>
            </a:ext>
          </a:extLst>
        </xdr:cNvPr>
        <xdr:cNvSpPr txBox="1"/>
      </xdr:nvSpPr>
      <xdr:spPr>
        <a:xfrm>
          <a:off x="1583531" y="178594"/>
          <a:ext cx="5269218" cy="116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baseline="0">
              <a:solidFill>
                <a:srgbClr val="225480"/>
              </a:solidFill>
            </a:rPr>
            <a:t>PIC Nutrient Recommendations for Developing Gilts v1.0</a:t>
          </a:r>
          <a:endParaRPr lang="en-US" sz="2800" b="1">
            <a:solidFill>
              <a:srgbClr val="225480"/>
            </a:solidFill>
          </a:endParaRPr>
        </a:p>
      </xdr:txBody>
    </xdr:sp>
    <xdr:clientData/>
  </xdr:twoCellAnchor>
  <xdr:twoCellAnchor>
    <xdr:from>
      <xdr:col>0</xdr:col>
      <xdr:colOff>542925</xdr:colOff>
      <xdr:row>12</xdr:row>
      <xdr:rowOff>19050</xdr:rowOff>
    </xdr:from>
    <xdr:to>
      <xdr:col>15</xdr:col>
      <xdr:colOff>57150</xdr:colOff>
      <xdr:row>63</xdr:row>
      <xdr:rowOff>121709</xdr:rowOff>
    </xdr:to>
    <xdr:sp macro="" textlink="">
      <xdr:nvSpPr>
        <xdr:cNvPr id="6" name="TextBox 5">
          <a:extLst>
            <a:ext uri="{FF2B5EF4-FFF2-40B4-BE49-F238E27FC236}">
              <a16:creationId xmlns:a16="http://schemas.microsoft.com/office/drawing/2014/main" id="{F919BF9F-55E6-4C5A-82D1-B4FE06CFF729}"/>
            </a:ext>
          </a:extLst>
        </xdr:cNvPr>
        <xdr:cNvSpPr txBox="1"/>
      </xdr:nvSpPr>
      <xdr:spPr>
        <a:xfrm>
          <a:off x="542925" y="2190750"/>
          <a:ext cx="8658225" cy="933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50" b="1"/>
            <a:t>Tool features:</a:t>
          </a:r>
        </a:p>
        <a:p>
          <a:endParaRPr lang="en-US" sz="1350">
            <a:solidFill>
              <a:schemeClr val="dk1"/>
            </a:solidFill>
            <a:latin typeface="+mn-lt"/>
            <a:ea typeface="+mn-ea"/>
            <a:cs typeface="+mn-cs"/>
          </a:endParaRPr>
        </a:p>
        <a:p>
          <a:r>
            <a:rPr lang="en-US" sz="1350">
              <a:solidFill>
                <a:schemeClr val="dk1"/>
              </a:solidFill>
              <a:latin typeface="+mn-lt"/>
              <a:ea typeface="+mn-ea"/>
              <a:cs typeface="+mn-cs"/>
            </a:rPr>
            <a:t>          This tool is designed to provide</a:t>
          </a:r>
          <a:r>
            <a:rPr lang="en-US" sz="1350" baseline="0">
              <a:solidFill>
                <a:schemeClr val="dk1"/>
              </a:solidFill>
              <a:latin typeface="+mn-lt"/>
              <a:ea typeface="+mn-ea"/>
              <a:cs typeface="+mn-cs"/>
            </a:rPr>
            <a:t> </a:t>
          </a:r>
          <a:r>
            <a:rPr lang="en-US" sz="1350">
              <a:solidFill>
                <a:schemeClr val="dk1"/>
              </a:solidFill>
              <a:latin typeface="+mn-lt"/>
              <a:ea typeface="+mn-ea"/>
              <a:cs typeface="+mn-cs"/>
            </a:rPr>
            <a:t>nutrient recommendations for developing replacement gilts. It</a:t>
          </a:r>
          <a:r>
            <a:rPr lang="en-US" sz="1350" baseline="0">
              <a:solidFill>
                <a:schemeClr val="dk1"/>
              </a:solidFill>
              <a:latin typeface="+mn-lt"/>
              <a:ea typeface="+mn-ea"/>
              <a:cs typeface="+mn-cs"/>
            </a:rPr>
            <a:t> can be considered dynamic as it provides nutrient recommendations specific to the desired weight range and energy level of the diets. Standardized ileal digestible Lys and STTD P are calculated based on the user-defined weight range and energy levels. Other essential AA and analyzed Ca are calculated as a ratio to SID Lys and STTD P, respectively. Trace minerals and vitamins are provided on a unit per kilogram or pound of diet. </a:t>
          </a:r>
          <a:endParaRPr lang="en-US" sz="1350">
            <a:solidFill>
              <a:schemeClr val="dk1"/>
            </a:solidFill>
            <a:latin typeface="+mn-lt"/>
            <a:ea typeface="+mn-ea"/>
            <a:cs typeface="+mn-cs"/>
          </a:endParaRPr>
        </a:p>
        <a:p>
          <a:endParaRPr lang="en-US" sz="1350">
            <a:solidFill>
              <a:schemeClr val="dk1"/>
            </a:solidFill>
            <a:latin typeface="+mn-lt"/>
            <a:ea typeface="+mn-ea"/>
            <a:cs typeface="+mn-cs"/>
          </a:endParaRPr>
        </a:p>
        <a:p>
          <a:endParaRPr lang="en-US" sz="1350"/>
        </a:p>
        <a:p>
          <a:r>
            <a:rPr lang="en-US" sz="1350" b="1"/>
            <a:t>Steps to use:</a:t>
          </a:r>
        </a:p>
        <a:p>
          <a:endParaRPr lang="en-US" sz="1350"/>
        </a:p>
        <a:p>
          <a:r>
            <a:rPr lang="en-US" sz="1350"/>
            <a:t>1. This version is designed for</a:t>
          </a:r>
          <a:r>
            <a:rPr lang="en-US" sz="1350" baseline="0"/>
            <a:t> ME system (imperial or metric)</a:t>
          </a:r>
          <a:r>
            <a:rPr lang="en-US" sz="1350"/>
            <a:t>; an NE</a:t>
          </a:r>
          <a:r>
            <a:rPr lang="en-US" sz="1350" baseline="0"/>
            <a:t> system</a:t>
          </a:r>
          <a:r>
            <a:rPr lang="en-US" sz="1350"/>
            <a:t> version is available</a:t>
          </a:r>
          <a:r>
            <a:rPr lang="en-US" sz="1350" baseline="0"/>
            <a:t> </a:t>
          </a:r>
          <a:r>
            <a:rPr lang="en-US" sz="1350"/>
            <a:t>separately.</a:t>
          </a:r>
        </a:p>
        <a:p>
          <a:r>
            <a:rPr lang="en-US" sz="1350"/>
            <a:t>2. Enter the input parameters in the yellow cells: </a:t>
          </a:r>
        </a:p>
        <a:p>
          <a:r>
            <a:rPr lang="en-US" sz="1350"/>
            <a:t>	a. Enter the</a:t>
          </a:r>
          <a:r>
            <a:rPr lang="en-US" sz="1350" baseline="0"/>
            <a:t> weight range for each phase. The program works for 11 to 150 kg (or 25 to 330 lb.) pigs</a:t>
          </a:r>
          <a:endParaRPr lang="en-US" sz="1350"/>
        </a:p>
        <a:p>
          <a:r>
            <a:rPr lang="en-US" sz="1350"/>
            <a:t>	b. Enter the current dietary ME level for each phase</a:t>
          </a:r>
        </a:p>
        <a:p>
          <a:endParaRPr lang="en-US" sz="1350"/>
        </a:p>
        <a:p>
          <a:r>
            <a:rPr lang="en-US" sz="1350" b="1"/>
            <a:t>Outputs:</a:t>
          </a:r>
        </a:p>
        <a:p>
          <a:endParaRPr lang="en-US" sz="1350">
            <a:solidFill>
              <a:schemeClr val="dk1"/>
            </a:solidFill>
            <a:latin typeface="+mn-lt"/>
            <a:ea typeface="+mn-ea"/>
            <a:cs typeface="+mn-cs"/>
          </a:endParaRPr>
        </a:p>
        <a:p>
          <a:r>
            <a:rPr lang="en-US" sz="1350" b="1" baseline="0">
              <a:solidFill>
                <a:schemeClr val="dk1"/>
              </a:solidFill>
              <a:latin typeface="+mn-lt"/>
              <a:ea typeface="+mn-ea"/>
              <a:cs typeface="+mn-cs"/>
            </a:rPr>
            <a:t>Standardized ileal digestible Lysine. </a:t>
          </a:r>
          <a:r>
            <a:rPr lang="en-US" sz="1350" b="0" baseline="0">
              <a:solidFill>
                <a:schemeClr val="dk1"/>
              </a:solidFill>
              <a:latin typeface="+mn-lt"/>
              <a:ea typeface="+mn-ea"/>
              <a:cs typeface="+mn-cs"/>
            </a:rPr>
            <a:t>SID Lys is calculated based on the user-defined ME of the diet and weight range of each phase. User may refer to the instruction page of the SID Lysine Biological Requirement for PIC Pigs to see how the Lys recommendations were derived (background information). Our recommendation for SID Lys requirement of replacement gilts is 97% of the requirement of terminal gilts.  For a phase greater than 90 kg (or 200 lb), the required ratio of SID Lys to ME is patterned to that of gestation. Other essential AA are calculated based on a ratio to SID Lys.</a:t>
          </a:r>
        </a:p>
        <a:p>
          <a:endParaRPr lang="en-US" sz="1350" b="0" baseline="0">
            <a:solidFill>
              <a:schemeClr val="dk1"/>
            </a:solidFill>
            <a:latin typeface="+mn-lt"/>
            <a:ea typeface="+mn-ea"/>
            <a:cs typeface="+mn-cs"/>
          </a:endParaRPr>
        </a:p>
        <a:p>
          <a:r>
            <a:rPr lang="en-US" sz="1350" b="1" baseline="0">
              <a:solidFill>
                <a:schemeClr val="dk1"/>
              </a:solidFill>
              <a:latin typeface="+mn-lt"/>
              <a:ea typeface="+mn-ea"/>
              <a:cs typeface="+mn-cs"/>
            </a:rPr>
            <a:t>Calcium and Phosphorus. </a:t>
          </a:r>
          <a:r>
            <a:rPr lang="en-US" sz="1350" b="0" baseline="0">
              <a:solidFill>
                <a:schemeClr val="dk1"/>
              </a:solidFill>
              <a:latin typeface="+mn-lt"/>
              <a:ea typeface="+mn-ea"/>
              <a:cs typeface="+mn-cs"/>
            </a:rPr>
            <a:t>STTD P is calculated based on user-defined ME of the diet and the weight range of each phase. User may refer to the instruction page of Phosphorus Biological Requirement for PIC Pigs to see how the phosphorus recommendation was derived (background information). Our recommendation for STTD P requirement of replacement gilts is 108% of the requirement of terminal gilts. Available P is estimated as 86% of STTD P. Analyzed Ca requirement is provided as ratio to analyzed P. </a:t>
          </a:r>
          <a:endParaRPr lang="en-US" sz="1350" b="1" baseline="0"/>
        </a:p>
        <a:p>
          <a:endParaRPr lang="en-US" sz="1350"/>
        </a:p>
        <a:p>
          <a:r>
            <a:rPr lang="en-US" sz="1350" b="1"/>
            <a:t>Trace minerals and vitamins. </a:t>
          </a:r>
          <a:r>
            <a:rPr lang="en-US" sz="1350" b="0"/>
            <a:t>Trace</a:t>
          </a:r>
          <a:r>
            <a:rPr lang="en-US" sz="1350" b="0" baseline="0"/>
            <a:t> minerals and vitamins are provided on a unit per kilogram or pound of diet.</a:t>
          </a:r>
        </a:p>
        <a:p>
          <a:endParaRPr lang="en-US" sz="1350" b="0" baseline="0"/>
        </a:p>
        <a:p>
          <a:endParaRPr lang="en-US" sz="1350" b="0" baseline="0"/>
        </a:p>
        <a:p>
          <a:r>
            <a:rPr lang="en-US" sz="1350" b="1" baseline="0"/>
            <a:t>Notes:</a:t>
          </a:r>
        </a:p>
        <a:p>
          <a:endParaRPr lang="en-US" sz="1350" b="1" baseline="0"/>
        </a:p>
        <a:p>
          <a:r>
            <a:rPr lang="en-US" sz="1350" b="0" baseline="0"/>
            <a:t>1. A red exclamation point (</a:t>
          </a:r>
          <a:r>
            <a:rPr lang="en-US" sz="1350" b="1" baseline="0">
              <a:solidFill>
                <a:srgbClr val="FF0000"/>
              </a:solidFill>
            </a:rPr>
            <a:t>!</a:t>
          </a:r>
          <a:r>
            <a:rPr lang="en-US" sz="1350" b="0" baseline="0">
              <a:solidFill>
                <a:sysClr val="windowText" lastClr="000000"/>
              </a:solidFill>
            </a:rPr>
            <a:t>) above the weight range will inform the user when the weight range of a phase is quite wide. In this case, the PIC SID Lys biological requirement is set to be at 85% of the requirement at the beginning of the phase.</a:t>
          </a:r>
        </a:p>
        <a:p>
          <a:r>
            <a:rPr lang="en-US" sz="1350" b="0" baseline="0">
              <a:solidFill>
                <a:sysClr val="windowText" lastClr="000000"/>
              </a:solidFill>
            </a:rPr>
            <a:t>2. For weight range starting at greater </a:t>
          </a:r>
          <a:r>
            <a:rPr lang="en-US" sz="1350" b="0" baseline="0">
              <a:solidFill>
                <a:sysClr val="windowText" lastClr="000000"/>
              </a:solidFill>
              <a:latin typeface="+mn-lt"/>
              <a:ea typeface="+mn-ea"/>
              <a:cs typeface="+mn-cs"/>
            </a:rPr>
            <a:t>than 90 </a:t>
          </a:r>
          <a:r>
            <a:rPr lang="en-US" sz="1350" b="0" baseline="0">
              <a:solidFill>
                <a:sysClr val="windowText" lastClr="000000"/>
              </a:solidFill>
            </a:rPr>
            <a:t>kg (or 200 lb), a double red asterisk (</a:t>
          </a:r>
          <a:r>
            <a:rPr lang="en-US" sz="1350" b="1" baseline="0">
              <a:solidFill>
                <a:srgbClr val="FF0000"/>
              </a:solidFill>
            </a:rPr>
            <a:t>**</a:t>
          </a:r>
          <a:r>
            <a:rPr lang="en-US" sz="1350" b="0" baseline="0">
              <a:solidFill>
                <a:sysClr val="windowText" lastClr="000000"/>
              </a:solidFill>
            </a:rPr>
            <a:t>) will inform the user to use 97% of the SID Lys requirement of terminal gilts if growth rate is below target.</a:t>
          </a:r>
        </a:p>
        <a:p>
          <a:endParaRPr lang="en-US" sz="1350" b="0" baseline="0">
            <a:solidFill>
              <a:sysClr val="windowText" lastClr="000000"/>
            </a:solidFill>
          </a:endParaRPr>
        </a:p>
        <a:p>
          <a:endParaRPr lang="en-US" sz="1350" b="0"/>
        </a:p>
        <a:p>
          <a:r>
            <a:rPr lang="en-US" sz="1350" b="1"/>
            <a:t>For questions on this tool please contact the PIC Nutrition Team.</a:t>
          </a:r>
        </a:p>
        <a:p>
          <a:endParaRPr lang="en-US" sz="1350"/>
        </a:p>
        <a:p>
          <a:endParaRPr lang="en-US" sz="1350"/>
        </a:p>
        <a:p>
          <a:endParaRPr lang="en-US" sz="13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201708</xdr:colOff>
      <xdr:row>0</xdr:row>
      <xdr:rowOff>0</xdr:rowOff>
    </xdr:from>
    <xdr:to>
      <xdr:col>11</xdr:col>
      <xdr:colOff>26014</xdr:colOff>
      <xdr:row>0</xdr:row>
      <xdr:rowOff>1428750</xdr:rowOff>
    </xdr:to>
    <xdr:pic>
      <xdr:nvPicPr>
        <xdr:cNvPr id="3" name="Picture 2">
          <a:extLst>
            <a:ext uri="{FF2B5EF4-FFF2-40B4-BE49-F238E27FC236}">
              <a16:creationId xmlns:a16="http://schemas.microsoft.com/office/drawing/2014/main" id="{9231BB73-2919-48DE-8A3A-E5D0379316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708" y="0"/>
          <a:ext cx="8834956" cy="1428750"/>
        </a:xfrm>
        <a:prstGeom prst="rect">
          <a:avLst/>
        </a:prstGeom>
      </xdr:spPr>
    </xdr:pic>
    <xdr:clientData/>
  </xdr:twoCellAnchor>
  <xdr:twoCellAnchor>
    <xdr:from>
      <xdr:col>1</xdr:col>
      <xdr:colOff>907173</xdr:colOff>
      <xdr:row>0</xdr:row>
      <xdr:rowOff>0</xdr:rowOff>
    </xdr:from>
    <xdr:to>
      <xdr:col>7</xdr:col>
      <xdr:colOff>371744</xdr:colOff>
      <xdr:row>0</xdr:row>
      <xdr:rowOff>1165224</xdr:rowOff>
    </xdr:to>
    <xdr:sp macro="" textlink="">
      <xdr:nvSpPr>
        <xdr:cNvPr id="4" name="TextBox 3">
          <a:extLst>
            <a:ext uri="{FF2B5EF4-FFF2-40B4-BE49-F238E27FC236}">
              <a16:creationId xmlns:a16="http://schemas.microsoft.com/office/drawing/2014/main" id="{030D0048-0A57-4AAE-A1DB-F7425D720DAC}"/>
            </a:ext>
          </a:extLst>
        </xdr:cNvPr>
        <xdr:cNvSpPr txBox="1"/>
      </xdr:nvSpPr>
      <xdr:spPr>
        <a:xfrm>
          <a:off x="1501085" y="0"/>
          <a:ext cx="5582983" cy="116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baseline="0">
              <a:solidFill>
                <a:srgbClr val="225480"/>
              </a:solidFill>
            </a:rPr>
            <a:t>PIC Nutrient Recommendations for Developing Gilts v1.0</a:t>
          </a:r>
          <a:endParaRPr lang="en-US" sz="2800" b="1">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10</xdr:col>
      <xdr:colOff>0</xdr:colOff>
      <xdr:row>0</xdr:row>
      <xdr:rowOff>1428750</xdr:rowOff>
    </xdr:to>
    <xdr:pic>
      <xdr:nvPicPr>
        <xdr:cNvPr id="4" name="Picture 3">
          <a:extLst>
            <a:ext uri="{FF2B5EF4-FFF2-40B4-BE49-F238E27FC236}">
              <a16:creationId xmlns:a16="http://schemas.microsoft.com/office/drawing/2014/main" id="{874EBF23-62FE-4BB4-BABB-F7F0EDA89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8829675" cy="1428750"/>
        </a:xfrm>
        <a:prstGeom prst="rect">
          <a:avLst/>
        </a:prstGeom>
      </xdr:spPr>
    </xdr:pic>
    <xdr:clientData/>
  </xdr:twoCellAnchor>
  <xdr:twoCellAnchor>
    <xdr:from>
      <xdr:col>1</xdr:col>
      <xdr:colOff>886440</xdr:colOff>
      <xdr:row>0</xdr:row>
      <xdr:rowOff>0</xdr:rowOff>
    </xdr:from>
    <xdr:to>
      <xdr:col>7</xdr:col>
      <xdr:colOff>351011</xdr:colOff>
      <xdr:row>0</xdr:row>
      <xdr:rowOff>1165224</xdr:rowOff>
    </xdr:to>
    <xdr:sp macro="" textlink="">
      <xdr:nvSpPr>
        <xdr:cNvPr id="5" name="TextBox 4">
          <a:extLst>
            <a:ext uri="{FF2B5EF4-FFF2-40B4-BE49-F238E27FC236}">
              <a16:creationId xmlns:a16="http://schemas.microsoft.com/office/drawing/2014/main" id="{8F23DE53-B74D-4E57-9B37-81670059AD43}"/>
            </a:ext>
          </a:extLst>
        </xdr:cNvPr>
        <xdr:cNvSpPr txBox="1"/>
      </xdr:nvSpPr>
      <xdr:spPr>
        <a:xfrm>
          <a:off x="1476990" y="0"/>
          <a:ext cx="5570096" cy="116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baseline="0">
              <a:solidFill>
                <a:srgbClr val="225480"/>
              </a:solidFill>
            </a:rPr>
            <a:t>PIC Nutrient Recommendations for Developing Gilts v1.0</a:t>
          </a:r>
          <a:endParaRPr lang="en-US" sz="2800" b="1">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6C3D-9D1A-4FEA-9139-C027480C07B6}">
  <dimension ref="B11:O48"/>
  <sheetViews>
    <sheetView showGridLines="0" view="pageBreakPreview" zoomScale="80" zoomScaleNormal="80" zoomScaleSheetLayoutView="80" workbookViewId="0">
      <selection activeCell="C71" sqref="C71"/>
    </sheetView>
  </sheetViews>
  <sheetFormatPr defaultColWidth="8.7109375" defaultRowHeight="15" x14ac:dyDescent="0.25"/>
  <cols>
    <col min="15" max="15" width="8.7109375" customWidth="1"/>
  </cols>
  <sheetData>
    <row r="11" spans="2:15" x14ac:dyDescent="0.25">
      <c r="K11" s="50"/>
    </row>
    <row r="12" spans="2:15" ht="14.65" customHeight="1" x14ac:dyDescent="0.25">
      <c r="B12" s="51"/>
      <c r="C12" s="51"/>
      <c r="D12" s="51"/>
      <c r="E12" s="51"/>
      <c r="F12" s="51"/>
      <c r="G12" s="51"/>
      <c r="H12" s="51"/>
      <c r="I12" s="51"/>
      <c r="J12" s="51"/>
      <c r="K12" s="51"/>
      <c r="L12" s="51"/>
      <c r="M12" s="51"/>
      <c r="N12" s="51"/>
      <c r="O12" s="51"/>
    </row>
    <row r="13" spans="2:15" ht="14.65" customHeight="1" x14ac:dyDescent="0.25">
      <c r="B13" s="51"/>
      <c r="C13" s="51"/>
      <c r="D13" s="51"/>
      <c r="E13" s="51"/>
      <c r="F13" s="51"/>
      <c r="G13" s="51"/>
      <c r="H13" s="51"/>
      <c r="I13" s="51"/>
      <c r="J13" s="51"/>
      <c r="K13" s="51"/>
      <c r="L13" s="51"/>
      <c r="M13" s="51"/>
      <c r="N13" s="51"/>
      <c r="O13" s="51"/>
    </row>
    <row r="14" spans="2:15" ht="14.65" customHeight="1" x14ac:dyDescent="0.25">
      <c r="B14" s="51"/>
      <c r="C14" s="51"/>
      <c r="D14" s="51"/>
      <c r="E14" s="51"/>
      <c r="F14" s="51"/>
      <c r="G14" s="51"/>
      <c r="H14" s="51"/>
      <c r="I14" s="51"/>
      <c r="J14" s="51"/>
      <c r="K14" s="51"/>
      <c r="L14" s="51"/>
      <c r="M14" s="51"/>
      <c r="N14" s="51"/>
      <c r="O14" s="51"/>
    </row>
    <row r="15" spans="2:15" ht="14.65" customHeight="1" x14ac:dyDescent="0.25">
      <c r="B15" s="51"/>
      <c r="C15" s="51"/>
      <c r="D15" s="51"/>
      <c r="E15" s="51"/>
      <c r="F15" s="51"/>
      <c r="G15" s="51"/>
      <c r="H15" s="51"/>
      <c r="I15" s="51"/>
      <c r="J15" s="51"/>
      <c r="K15" s="51"/>
      <c r="L15" s="51"/>
      <c r="M15" s="51"/>
      <c r="N15" s="51"/>
      <c r="O15" s="51"/>
    </row>
    <row r="16" spans="2:15" ht="14.65" customHeight="1" x14ac:dyDescent="0.25">
      <c r="B16" s="51"/>
      <c r="C16" s="51"/>
      <c r="D16" s="51"/>
      <c r="E16" s="51"/>
      <c r="F16" s="51"/>
      <c r="G16" s="51"/>
      <c r="H16" s="51"/>
      <c r="I16" s="51"/>
      <c r="J16" s="51"/>
      <c r="K16" s="51"/>
      <c r="L16" s="51"/>
      <c r="M16" s="51"/>
      <c r="N16" s="51"/>
      <c r="O16" s="51"/>
    </row>
    <row r="17" spans="2:15" ht="14.65" customHeight="1" x14ac:dyDescent="0.25">
      <c r="B17" s="51"/>
      <c r="C17" s="51"/>
      <c r="D17" s="51"/>
      <c r="E17" s="51"/>
      <c r="F17" s="51"/>
      <c r="G17" s="51"/>
      <c r="H17" s="51"/>
      <c r="I17" s="51"/>
      <c r="J17" s="51"/>
      <c r="K17" s="51"/>
      <c r="L17" s="51"/>
      <c r="M17" s="51"/>
      <c r="N17" s="51"/>
      <c r="O17" s="51"/>
    </row>
    <row r="18" spans="2:15" ht="14.65" customHeight="1" x14ac:dyDescent="0.25">
      <c r="B18" s="51"/>
      <c r="C18" s="51"/>
      <c r="D18" s="51"/>
      <c r="E18" s="51"/>
      <c r="F18" s="51"/>
      <c r="G18" s="51"/>
      <c r="H18" s="51"/>
      <c r="I18" s="51"/>
      <c r="J18" s="51"/>
      <c r="K18" s="51"/>
      <c r="L18" s="51"/>
      <c r="M18" s="51"/>
      <c r="N18" s="51"/>
      <c r="O18" s="51"/>
    </row>
    <row r="19" spans="2:15" ht="14.65" customHeight="1" x14ac:dyDescent="0.25">
      <c r="B19" s="51"/>
      <c r="C19" s="51"/>
      <c r="D19" s="51"/>
      <c r="E19" s="51"/>
      <c r="F19" s="51"/>
      <c r="G19" s="51"/>
      <c r="H19" s="51"/>
      <c r="I19" s="51"/>
      <c r="J19" s="51"/>
      <c r="K19" s="51"/>
      <c r="L19" s="51"/>
      <c r="M19" s="51"/>
      <c r="N19" s="51"/>
      <c r="O19" s="51"/>
    </row>
    <row r="20" spans="2:15" ht="14.65" customHeight="1" x14ac:dyDescent="0.25">
      <c r="B20" s="51"/>
      <c r="C20" s="51"/>
      <c r="D20" s="51"/>
      <c r="E20" s="51"/>
      <c r="F20" s="51"/>
      <c r="G20" s="51"/>
      <c r="H20" s="51"/>
      <c r="I20" s="51"/>
      <c r="J20" s="51"/>
      <c r="K20" s="51"/>
      <c r="L20" s="51"/>
      <c r="M20" s="51"/>
      <c r="N20" s="51"/>
      <c r="O20" s="51"/>
    </row>
    <row r="21" spans="2:15" ht="14.65" customHeight="1" x14ac:dyDescent="0.25">
      <c r="B21" s="51"/>
      <c r="C21" s="51"/>
      <c r="D21" s="51"/>
      <c r="E21" s="51"/>
      <c r="F21" s="51"/>
      <c r="G21" s="51"/>
      <c r="H21" s="51"/>
      <c r="I21" s="51"/>
      <c r="J21" s="51"/>
      <c r="K21" s="51"/>
      <c r="L21" s="51"/>
      <c r="M21" s="51"/>
      <c r="N21" s="51"/>
      <c r="O21" s="51"/>
    </row>
    <row r="22" spans="2:15" ht="14.65" customHeight="1" x14ac:dyDescent="0.25">
      <c r="B22" s="51"/>
      <c r="C22" s="51"/>
      <c r="D22" s="51"/>
      <c r="E22" s="51"/>
      <c r="F22" s="51"/>
      <c r="G22" s="51"/>
      <c r="H22" s="51"/>
      <c r="I22" s="51"/>
      <c r="J22" s="51"/>
      <c r="K22" s="51"/>
      <c r="L22" s="51"/>
      <c r="M22" s="51"/>
      <c r="N22" s="51"/>
      <c r="O22" s="51"/>
    </row>
    <row r="23" spans="2:15" ht="14.65" customHeight="1" x14ac:dyDescent="0.25">
      <c r="B23" s="51"/>
      <c r="C23" s="51"/>
      <c r="D23" s="51"/>
      <c r="E23" s="51"/>
      <c r="F23" s="51"/>
      <c r="G23" s="51"/>
      <c r="H23" s="51"/>
      <c r="I23" s="51"/>
      <c r="J23" s="51"/>
      <c r="K23" s="51"/>
      <c r="L23" s="51"/>
      <c r="M23" s="51"/>
      <c r="N23" s="51"/>
      <c r="O23" s="51"/>
    </row>
    <row r="24" spans="2:15" ht="14.65" customHeight="1" x14ac:dyDescent="0.25">
      <c r="B24" s="51"/>
      <c r="C24" s="51"/>
      <c r="D24" s="51"/>
      <c r="E24" s="51"/>
      <c r="F24" s="51"/>
      <c r="G24" s="51"/>
      <c r="H24" s="51"/>
      <c r="I24" s="51"/>
      <c r="J24" s="51"/>
      <c r="K24" s="51"/>
      <c r="L24" s="51"/>
      <c r="M24" s="51"/>
      <c r="N24" s="51"/>
      <c r="O24" s="51"/>
    </row>
    <row r="25" spans="2:15" ht="14.65" customHeight="1" x14ac:dyDescent="0.25">
      <c r="B25" s="51"/>
      <c r="C25" s="51"/>
      <c r="D25" s="51"/>
      <c r="E25" s="51"/>
      <c r="F25" s="51"/>
      <c r="G25" s="51"/>
      <c r="H25" s="51"/>
      <c r="I25" s="51"/>
      <c r="J25" s="51"/>
      <c r="K25" s="51"/>
      <c r="L25" s="51"/>
      <c r="M25" s="51"/>
      <c r="N25" s="51"/>
      <c r="O25" s="51"/>
    </row>
    <row r="26" spans="2:15" s="52" customFormat="1" ht="14.65" customHeight="1" x14ac:dyDescent="0.3">
      <c r="B26" s="51"/>
      <c r="C26" s="51"/>
      <c r="D26" s="51"/>
      <c r="E26" s="51"/>
      <c r="F26" s="51"/>
      <c r="G26" s="51"/>
      <c r="H26" s="51"/>
      <c r="I26" s="51"/>
      <c r="J26" s="51"/>
      <c r="K26" s="51"/>
      <c r="L26" s="51"/>
      <c r="M26" s="51"/>
      <c r="N26" s="51"/>
      <c r="O26" s="51"/>
    </row>
    <row r="27" spans="2:15" ht="14.65" customHeight="1" x14ac:dyDescent="0.25">
      <c r="B27" s="51"/>
      <c r="C27" s="51"/>
      <c r="D27" s="51"/>
      <c r="E27" s="51"/>
      <c r="F27" s="51"/>
      <c r="G27" s="51"/>
      <c r="H27" s="51"/>
      <c r="I27" s="51"/>
      <c r="J27" s="51"/>
      <c r="K27" s="51"/>
      <c r="L27" s="51"/>
      <c r="M27" s="51"/>
      <c r="N27" s="51"/>
      <c r="O27" s="51"/>
    </row>
    <row r="28" spans="2:15" ht="14.65" customHeight="1" x14ac:dyDescent="0.25">
      <c r="B28" s="51"/>
      <c r="C28" s="51"/>
      <c r="D28" s="51"/>
      <c r="E28" s="51"/>
      <c r="F28" s="51"/>
      <c r="G28" s="51"/>
      <c r="H28" s="51"/>
      <c r="I28" s="51"/>
      <c r="J28" s="51"/>
      <c r="K28" s="51"/>
      <c r="L28" s="51"/>
      <c r="M28" s="51"/>
      <c r="N28" s="51"/>
      <c r="O28" s="51"/>
    </row>
    <row r="29" spans="2:15" ht="14.65" customHeight="1" x14ac:dyDescent="0.25">
      <c r="B29" s="51"/>
      <c r="C29" s="51"/>
      <c r="D29" s="51"/>
      <c r="E29" s="51"/>
      <c r="F29" s="51"/>
      <c r="G29" s="51"/>
      <c r="H29" s="51"/>
      <c r="I29" s="51"/>
      <c r="J29" s="51"/>
      <c r="K29" s="51"/>
      <c r="L29" s="51"/>
      <c r="M29" s="51"/>
      <c r="N29" s="51"/>
      <c r="O29" s="51"/>
    </row>
    <row r="30" spans="2:15" ht="14.65" customHeight="1" x14ac:dyDescent="0.25">
      <c r="B30" s="51"/>
      <c r="C30" s="51"/>
      <c r="D30" s="51"/>
      <c r="E30" s="51"/>
      <c r="F30" s="51"/>
      <c r="G30" s="51"/>
      <c r="H30" s="51"/>
      <c r="I30" s="51"/>
      <c r="J30" s="51"/>
      <c r="K30" s="51"/>
      <c r="L30" s="51"/>
      <c r="M30" s="51"/>
      <c r="N30" s="51"/>
      <c r="O30" s="51"/>
    </row>
    <row r="31" spans="2:15" ht="14.65" customHeight="1" x14ac:dyDescent="0.25">
      <c r="B31" s="51"/>
      <c r="C31" s="51"/>
      <c r="D31" s="51"/>
      <c r="E31" s="51"/>
      <c r="F31" s="51"/>
      <c r="G31" s="51"/>
      <c r="H31" s="51"/>
      <c r="I31" s="51"/>
      <c r="J31" s="51"/>
      <c r="K31" s="51"/>
      <c r="L31" s="51"/>
      <c r="M31" s="51"/>
      <c r="N31" s="51"/>
      <c r="O31" s="51"/>
    </row>
    <row r="32" spans="2:15" ht="14.65" customHeight="1" x14ac:dyDescent="0.25">
      <c r="B32" s="51"/>
      <c r="C32" s="51"/>
      <c r="D32" s="51"/>
      <c r="E32" s="51"/>
      <c r="F32" s="51"/>
      <c r="G32" s="51"/>
      <c r="H32" s="51"/>
      <c r="I32" s="51"/>
      <c r="J32" s="51"/>
      <c r="K32" s="51"/>
      <c r="L32" s="51"/>
      <c r="M32" s="51"/>
      <c r="N32" s="51"/>
      <c r="O32" s="51"/>
    </row>
    <row r="33" spans="2:15" ht="14.65" customHeight="1" x14ac:dyDescent="0.25">
      <c r="B33" s="51"/>
      <c r="C33" s="51"/>
      <c r="D33" s="51"/>
      <c r="E33" s="51"/>
      <c r="F33" s="51"/>
      <c r="G33" s="51"/>
      <c r="H33" s="51"/>
      <c r="I33" s="51"/>
      <c r="J33" s="51"/>
      <c r="K33" s="51"/>
      <c r="L33" s="51"/>
      <c r="M33" s="51"/>
      <c r="N33" s="51"/>
      <c r="O33" s="51"/>
    </row>
    <row r="34" spans="2:15" ht="14.65" customHeight="1" x14ac:dyDescent="0.25">
      <c r="B34" s="51"/>
      <c r="C34" s="51"/>
      <c r="D34" s="51"/>
      <c r="E34" s="51"/>
      <c r="F34" s="51"/>
      <c r="G34" s="51"/>
      <c r="H34" s="51"/>
      <c r="I34" s="51"/>
      <c r="J34" s="51"/>
      <c r="K34" s="51"/>
      <c r="L34" s="51"/>
      <c r="M34" s="51"/>
      <c r="N34" s="51"/>
      <c r="O34" s="51"/>
    </row>
    <row r="35" spans="2:15" ht="14.65" customHeight="1" x14ac:dyDescent="0.25">
      <c r="B35" s="51"/>
      <c r="C35" s="51"/>
      <c r="D35" s="51"/>
      <c r="E35" s="51"/>
      <c r="F35" s="51"/>
      <c r="G35" s="51"/>
      <c r="H35" s="51"/>
      <c r="I35" s="51"/>
      <c r="J35" s="51"/>
      <c r="K35" s="51"/>
      <c r="L35" s="51"/>
      <c r="M35" s="51"/>
      <c r="N35" s="51"/>
      <c r="O35" s="51"/>
    </row>
    <row r="36" spans="2:15" ht="14.65" customHeight="1" x14ac:dyDescent="0.25">
      <c r="B36" s="51"/>
      <c r="C36" s="51"/>
      <c r="D36" s="51"/>
      <c r="E36" s="51"/>
      <c r="F36" s="51"/>
      <c r="G36" s="51"/>
      <c r="H36" s="51"/>
      <c r="I36" s="51"/>
      <c r="J36" s="51"/>
      <c r="K36" s="51"/>
      <c r="L36" s="51"/>
      <c r="M36" s="51"/>
      <c r="N36" s="51"/>
      <c r="O36" s="51"/>
    </row>
    <row r="37" spans="2:15" ht="14.65" customHeight="1" x14ac:dyDescent="0.25">
      <c r="B37" s="51"/>
      <c r="C37" s="51"/>
      <c r="D37" s="51"/>
      <c r="E37" s="51"/>
      <c r="F37" s="51"/>
      <c r="G37" s="51"/>
      <c r="H37" s="51"/>
      <c r="I37" s="51"/>
      <c r="J37" s="51"/>
      <c r="K37" s="51"/>
      <c r="L37" s="51"/>
      <c r="M37" s="51"/>
      <c r="N37" s="51"/>
      <c r="O37" s="51"/>
    </row>
    <row r="38" spans="2:15" ht="14.65" customHeight="1" x14ac:dyDescent="0.25">
      <c r="B38" s="51"/>
      <c r="C38" s="51"/>
      <c r="D38" s="51"/>
      <c r="E38" s="51"/>
      <c r="F38" s="51"/>
      <c r="G38" s="51"/>
      <c r="H38" s="51"/>
      <c r="I38" s="51"/>
      <c r="J38" s="51"/>
      <c r="K38" s="51"/>
      <c r="L38" s="51"/>
      <c r="M38" s="51"/>
      <c r="N38" s="51"/>
      <c r="O38" s="51"/>
    </row>
    <row r="39" spans="2:15" ht="14.65" customHeight="1" x14ac:dyDescent="0.25">
      <c r="B39" s="51"/>
      <c r="C39" s="51"/>
      <c r="D39" s="51"/>
      <c r="E39" s="51"/>
      <c r="F39" s="51"/>
      <c r="G39" s="51"/>
      <c r="H39" s="51"/>
      <c r="I39" s="51"/>
      <c r="J39" s="51"/>
      <c r="K39" s="51"/>
      <c r="L39" s="51"/>
      <c r="M39" s="51"/>
      <c r="N39" s="51"/>
      <c r="O39" s="51"/>
    </row>
    <row r="40" spans="2:15" ht="14.65" customHeight="1" x14ac:dyDescent="0.25">
      <c r="B40" s="51"/>
      <c r="C40" s="51"/>
      <c r="D40" s="51"/>
      <c r="E40" s="51"/>
      <c r="F40" s="51"/>
      <c r="G40" s="51"/>
      <c r="H40" s="51"/>
      <c r="I40" s="51"/>
      <c r="J40" s="51"/>
      <c r="K40" s="51"/>
      <c r="L40" s="51"/>
      <c r="M40" s="51"/>
      <c r="N40" s="51"/>
      <c r="O40" s="51"/>
    </row>
    <row r="41" spans="2:15" ht="14.65" customHeight="1" x14ac:dyDescent="0.25">
      <c r="B41" s="51"/>
      <c r="C41" s="51"/>
      <c r="D41" s="51"/>
      <c r="E41" s="51"/>
      <c r="F41" s="51"/>
      <c r="G41" s="51"/>
      <c r="H41" s="51"/>
      <c r="I41" s="51"/>
      <c r="J41" s="51"/>
      <c r="K41" s="51"/>
      <c r="L41" s="51"/>
      <c r="M41" s="51"/>
      <c r="N41" s="51"/>
      <c r="O41" s="51"/>
    </row>
    <row r="42" spans="2:15" ht="14.65" customHeight="1" x14ac:dyDescent="0.25">
      <c r="B42" s="51"/>
      <c r="C42" s="51"/>
      <c r="D42" s="51"/>
      <c r="E42" s="51"/>
      <c r="F42" s="51"/>
      <c r="G42" s="51"/>
      <c r="H42" s="51"/>
      <c r="I42" s="51"/>
      <c r="J42" s="51"/>
      <c r="K42" s="51"/>
      <c r="L42" s="51"/>
      <c r="M42" s="51"/>
      <c r="N42" s="51"/>
      <c r="O42" s="51"/>
    </row>
    <row r="43" spans="2:15" ht="14.65" customHeight="1" x14ac:dyDescent="0.25">
      <c r="B43" s="51"/>
      <c r="C43" s="51"/>
      <c r="D43" s="51"/>
      <c r="E43" s="51"/>
      <c r="F43" s="51"/>
      <c r="G43" s="51"/>
      <c r="H43" s="51"/>
      <c r="I43" s="51"/>
      <c r="J43" s="51"/>
      <c r="K43" s="51"/>
      <c r="L43" s="51"/>
      <c r="M43" s="51"/>
      <c r="N43" s="51"/>
      <c r="O43" s="51"/>
    </row>
    <row r="44" spans="2:15" ht="14.65" customHeight="1" x14ac:dyDescent="0.25">
      <c r="B44" s="51"/>
      <c r="C44" s="51"/>
      <c r="D44" s="51"/>
      <c r="E44" s="51"/>
      <c r="F44" s="51"/>
      <c r="G44" s="51"/>
      <c r="H44" s="51"/>
      <c r="I44" s="51"/>
      <c r="J44" s="51"/>
      <c r="K44" s="51"/>
      <c r="L44" s="51"/>
      <c r="M44" s="51"/>
      <c r="N44" s="51"/>
      <c r="O44" s="51"/>
    </row>
    <row r="45" spans="2:15" ht="14.65" customHeight="1" x14ac:dyDescent="0.25">
      <c r="B45" s="51"/>
      <c r="C45" s="51"/>
      <c r="D45" s="51"/>
      <c r="E45" s="51"/>
      <c r="F45" s="51"/>
      <c r="G45" s="51"/>
      <c r="H45" s="51"/>
      <c r="I45" s="51"/>
      <c r="J45" s="51"/>
      <c r="K45" s="51"/>
      <c r="L45" s="51"/>
      <c r="M45" s="51"/>
      <c r="N45" s="51"/>
      <c r="O45" s="51"/>
    </row>
    <row r="46" spans="2:15" ht="14.65" customHeight="1" x14ac:dyDescent="0.25">
      <c r="B46" s="53"/>
      <c r="C46" s="53"/>
      <c r="D46" s="53"/>
      <c r="E46" s="53"/>
      <c r="F46" s="53"/>
      <c r="G46" s="53"/>
      <c r="H46" s="53"/>
      <c r="I46" s="53"/>
      <c r="J46" s="53"/>
      <c r="K46" s="53"/>
      <c r="L46" s="53"/>
      <c r="M46" s="53"/>
      <c r="N46" s="53"/>
      <c r="O46" s="53"/>
    </row>
    <row r="47" spans="2:15" ht="14.65" customHeight="1" x14ac:dyDescent="0.25">
      <c r="B47" s="53"/>
      <c r="C47" s="53"/>
      <c r="D47" s="53"/>
      <c r="E47" s="53"/>
      <c r="F47" s="53"/>
      <c r="G47" s="53"/>
      <c r="H47" s="53"/>
      <c r="I47" s="53"/>
      <c r="J47" s="53"/>
      <c r="K47" s="53"/>
      <c r="L47" s="53"/>
      <c r="M47" s="53"/>
      <c r="N47" s="53"/>
      <c r="O47" s="53"/>
    </row>
    <row r="48" spans="2:15" ht="14.65" customHeight="1" x14ac:dyDescent="0.25">
      <c r="B48" s="53"/>
      <c r="C48" s="53"/>
      <c r="D48" s="53"/>
      <c r="E48" s="53"/>
      <c r="F48" s="53"/>
      <c r="G48" s="53"/>
      <c r="H48" s="53"/>
      <c r="I48" s="53"/>
      <c r="J48" s="53"/>
      <c r="K48" s="53"/>
      <c r="L48" s="53"/>
      <c r="M48" s="53"/>
      <c r="N48" s="53"/>
      <c r="O48" s="53"/>
    </row>
  </sheetData>
  <sheetProtection algorithmName="SHA-512" hashValue="ZyLBgfrkJ+gVutvb9TMbn1QmQOTDHpL5ClhpbFMwUzV/oN4lecxhQlEBAlN+zQBRbu6BOV9HhjsDI5dw+I5lzg==" saltValue="VV7ieO1VWO01WjjKAtrqAw==" spinCount="100000" sheet="1" objects="1" scenarios="1" selectLockedCells="1" selectUnlockedCells="1"/>
  <pageMargins left="0.7" right="0.7" top="0.75" bottom="0.75" header="0.3" footer="0.3"/>
  <pageSetup scale="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3AC4A-243A-4C80-98E7-69F52ED46C0E}">
  <dimension ref="B1:T67"/>
  <sheetViews>
    <sheetView showGridLines="0" showRowColHeaders="0" tabSelected="1" zoomScaleNormal="100" workbookViewId="0">
      <selection activeCell="G22" sqref="G22"/>
    </sheetView>
  </sheetViews>
  <sheetFormatPr defaultColWidth="8.7109375" defaultRowHeight="15" x14ac:dyDescent="0.25"/>
  <cols>
    <col min="1" max="1" width="8.7109375" style="1"/>
    <col min="2" max="2" width="35.42578125" style="9" bestFit="1" customWidth="1"/>
    <col min="3" max="3" width="9.7109375" style="2" bestFit="1" customWidth="1"/>
    <col min="4" max="8" width="11.42578125" style="2" customWidth="1"/>
    <col min="9" max="10" width="11.42578125" style="1" customWidth="1"/>
    <col min="11" max="11" width="9.7109375" style="1" hidden="1" customWidth="1"/>
    <col min="12" max="16384" width="8.7109375" style="1"/>
  </cols>
  <sheetData>
    <row r="1" spans="2:11" ht="113.25" customHeight="1" x14ac:dyDescent="0.25">
      <c r="B1" s="26"/>
      <c r="C1" s="13"/>
      <c r="D1" s="13"/>
      <c r="E1" s="13"/>
      <c r="F1" s="13"/>
      <c r="G1" s="13"/>
      <c r="H1" s="13"/>
      <c r="I1" s="3"/>
      <c r="J1" s="3"/>
      <c r="K1" s="3"/>
    </row>
    <row r="2" spans="2:11" ht="15.75" thickBot="1" x14ac:dyDescent="0.3">
      <c r="B2" s="24" t="s">
        <v>14</v>
      </c>
      <c r="C2" s="25" t="s">
        <v>15</v>
      </c>
      <c r="D2" s="49" t="str">
        <f>IF(D16&lt;D18,"!",IF(D3&gt;=200,"**"," "))</f>
        <v xml:space="preserve"> </v>
      </c>
      <c r="E2" s="49" t="str">
        <f t="shared" ref="E2:J2" si="0">IF(E16&lt;E18,"!",IF(E3&gt;=200,"**"," "))</f>
        <v xml:space="preserve"> </v>
      </c>
      <c r="F2" s="49" t="str">
        <f t="shared" si="0"/>
        <v xml:space="preserve"> </v>
      </c>
      <c r="G2" s="49" t="str">
        <f t="shared" si="0"/>
        <v xml:space="preserve"> </v>
      </c>
      <c r="H2" s="49" t="str">
        <f t="shared" si="0"/>
        <v xml:space="preserve"> </v>
      </c>
      <c r="I2" s="49" t="str">
        <f t="shared" si="0"/>
        <v xml:space="preserve"> </v>
      </c>
      <c r="J2" s="49" t="str">
        <f t="shared" si="0"/>
        <v xml:space="preserve"> </v>
      </c>
      <c r="K2" s="28"/>
    </row>
    <row r="3" spans="2:11" x14ac:dyDescent="0.25">
      <c r="B3" s="22" t="s">
        <v>7</v>
      </c>
      <c r="C3" s="23" t="s">
        <v>6</v>
      </c>
      <c r="D3" s="47"/>
      <c r="E3" s="47"/>
      <c r="F3" s="47"/>
      <c r="G3" s="47"/>
      <c r="H3" s="47"/>
      <c r="I3" s="47"/>
      <c r="J3" s="47"/>
      <c r="K3" s="45"/>
    </row>
    <row r="4" spans="2:11" x14ac:dyDescent="0.25">
      <c r="B4" s="22" t="s">
        <v>8</v>
      </c>
      <c r="C4" s="23" t="s">
        <v>6</v>
      </c>
      <c r="D4" s="47"/>
      <c r="E4" s="47"/>
      <c r="F4" s="47"/>
      <c r="G4" s="47"/>
      <c r="H4" s="47"/>
      <c r="I4" s="47"/>
      <c r="J4" s="47"/>
      <c r="K4" s="45"/>
    </row>
    <row r="5" spans="2:11" ht="15.75" thickBot="1" x14ac:dyDescent="0.3">
      <c r="B5" s="24" t="s">
        <v>13</v>
      </c>
      <c r="C5" s="25" t="s">
        <v>5</v>
      </c>
      <c r="D5" s="48"/>
      <c r="E5" s="48"/>
      <c r="F5" s="48"/>
      <c r="G5" s="48"/>
      <c r="H5" s="48"/>
      <c r="I5" s="48"/>
      <c r="J5" s="48"/>
      <c r="K5" s="46"/>
    </row>
    <row r="6" spans="2:11" hidden="1" x14ac:dyDescent="0.25">
      <c r="B6" s="9" t="s">
        <v>3</v>
      </c>
      <c r="D6" s="6" t="str">
        <f t="shared" ref="D6:K7" si="1">IF(D3="","",D3)</f>
        <v/>
      </c>
      <c r="E6" s="6" t="str">
        <f t="shared" si="1"/>
        <v/>
      </c>
      <c r="F6" s="6" t="str">
        <f t="shared" si="1"/>
        <v/>
      </c>
      <c r="G6" s="6" t="str">
        <f t="shared" si="1"/>
        <v/>
      </c>
      <c r="H6" s="6" t="str">
        <f t="shared" si="1"/>
        <v/>
      </c>
      <c r="I6" s="6" t="str">
        <f t="shared" si="1"/>
        <v/>
      </c>
      <c r="J6" s="6" t="str">
        <f t="shared" si="1"/>
        <v/>
      </c>
      <c r="K6" s="6" t="str">
        <f t="shared" si="1"/>
        <v/>
      </c>
    </row>
    <row r="7" spans="2:11" hidden="1" x14ac:dyDescent="0.25">
      <c r="B7" s="9" t="s">
        <v>2</v>
      </c>
      <c r="D7" s="6" t="str">
        <f t="shared" si="1"/>
        <v/>
      </c>
      <c r="E7" s="6" t="str">
        <f t="shared" si="1"/>
        <v/>
      </c>
      <c r="F7" s="6" t="str">
        <f t="shared" si="1"/>
        <v/>
      </c>
      <c r="G7" s="6" t="str">
        <f t="shared" si="1"/>
        <v/>
      </c>
      <c r="H7" s="6" t="str">
        <f t="shared" si="1"/>
        <v/>
      </c>
      <c r="I7" s="6" t="str">
        <f t="shared" si="1"/>
        <v/>
      </c>
      <c r="J7" s="6" t="str">
        <f t="shared" si="1"/>
        <v/>
      </c>
      <c r="K7" s="6" t="str">
        <f t="shared" si="1"/>
        <v/>
      </c>
    </row>
    <row r="8" spans="2:11" hidden="1" x14ac:dyDescent="0.25">
      <c r="B8" s="9" t="s">
        <v>16</v>
      </c>
      <c r="D8" s="15" t="str">
        <f>IFERROR(IF(D6&gt;0,AVERAGE(D6:D7)," "),"")</f>
        <v/>
      </c>
      <c r="E8" s="15" t="str">
        <f t="shared" ref="E8:K8" si="2">IFERROR(IF(E6&gt;0,AVERAGE(E6:E7)," "),"")</f>
        <v/>
      </c>
      <c r="F8" s="15" t="str">
        <f t="shared" si="2"/>
        <v/>
      </c>
      <c r="G8" s="15" t="str">
        <f t="shared" si="2"/>
        <v/>
      </c>
      <c r="H8" s="15" t="str">
        <f t="shared" si="2"/>
        <v/>
      </c>
      <c r="I8" s="15" t="str">
        <f t="shared" si="2"/>
        <v/>
      </c>
      <c r="J8" s="15" t="str">
        <f t="shared" si="2"/>
        <v/>
      </c>
      <c r="K8" s="15" t="str">
        <f t="shared" si="2"/>
        <v/>
      </c>
    </row>
    <row r="9" spans="2:11" hidden="1" x14ac:dyDescent="0.25">
      <c r="B9" s="9" t="s">
        <v>0</v>
      </c>
      <c r="D9" s="6" t="str">
        <f t="shared" ref="D9:K10" si="3">IF(D3&gt;0,CONVERT(D3/1000,"lbm","g")," ")</f>
        <v xml:space="preserve"> </v>
      </c>
      <c r="E9" s="6" t="str">
        <f t="shared" si="3"/>
        <v xml:space="preserve"> </v>
      </c>
      <c r="F9" s="6" t="str">
        <f t="shared" si="3"/>
        <v xml:space="preserve"> </v>
      </c>
      <c r="G9" s="6" t="str">
        <f t="shared" si="3"/>
        <v xml:space="preserve"> </v>
      </c>
      <c r="H9" s="6" t="str">
        <f t="shared" si="3"/>
        <v xml:space="preserve"> </v>
      </c>
      <c r="I9" s="6" t="str">
        <f t="shared" si="3"/>
        <v xml:space="preserve"> </v>
      </c>
      <c r="J9" s="6" t="str">
        <f t="shared" si="3"/>
        <v xml:space="preserve"> </v>
      </c>
      <c r="K9" s="6" t="str">
        <f t="shared" si="3"/>
        <v xml:space="preserve"> </v>
      </c>
    </row>
    <row r="10" spans="2:11" hidden="1" x14ac:dyDescent="0.25">
      <c r="B10" s="9" t="s">
        <v>1</v>
      </c>
      <c r="D10" s="6" t="str">
        <f t="shared" si="3"/>
        <v xml:space="preserve"> </v>
      </c>
      <c r="E10" s="6" t="str">
        <f t="shared" si="3"/>
        <v xml:space="preserve"> </v>
      </c>
      <c r="F10" s="6" t="str">
        <f t="shared" si="3"/>
        <v xml:space="preserve"> </v>
      </c>
      <c r="G10" s="6" t="str">
        <f t="shared" si="3"/>
        <v xml:space="preserve"> </v>
      </c>
      <c r="H10" s="6" t="str">
        <f t="shared" si="3"/>
        <v xml:space="preserve"> </v>
      </c>
      <c r="I10" s="6" t="str">
        <f t="shared" si="3"/>
        <v xml:space="preserve"> </v>
      </c>
      <c r="J10" s="6" t="str">
        <f t="shared" si="3"/>
        <v xml:space="preserve"> </v>
      </c>
      <c r="K10" s="6" t="str">
        <f t="shared" si="3"/>
        <v xml:space="preserve"> </v>
      </c>
    </row>
    <row r="11" spans="2:11" hidden="1" x14ac:dyDescent="0.25">
      <c r="B11" s="9" t="s">
        <v>16</v>
      </c>
      <c r="D11" s="15" t="str">
        <f>IFERROR(IF(D9&gt;0,AVERAGE(D9:D10)," "),"")</f>
        <v/>
      </c>
      <c r="E11" s="15" t="str">
        <f t="shared" ref="E11:K11" si="4">IFERROR(IF(E9&gt;0,AVERAGE(E9:E10)," "),"")</f>
        <v/>
      </c>
      <c r="F11" s="15" t="str">
        <f t="shared" si="4"/>
        <v/>
      </c>
      <c r="G11" s="15" t="str">
        <f t="shared" si="4"/>
        <v/>
      </c>
      <c r="H11" s="15" t="str">
        <f t="shared" si="4"/>
        <v/>
      </c>
      <c r="I11" s="15" t="str">
        <f t="shared" si="4"/>
        <v/>
      </c>
      <c r="J11" s="15" t="str">
        <f t="shared" si="4"/>
        <v/>
      </c>
      <c r="K11" s="15" t="str">
        <f t="shared" si="4"/>
        <v/>
      </c>
    </row>
    <row r="12" spans="2:11" x14ac:dyDescent="0.25">
      <c r="B12" s="10" t="s">
        <v>4</v>
      </c>
      <c r="C12" s="7"/>
      <c r="D12" s="13"/>
      <c r="E12" s="13"/>
      <c r="F12" s="13"/>
      <c r="G12" s="13"/>
      <c r="H12" s="16"/>
      <c r="I12" s="16"/>
      <c r="J12" s="3"/>
      <c r="K12" s="3"/>
    </row>
    <row r="13" spans="2:11" s="4" customFormat="1" x14ac:dyDescent="0.25">
      <c r="B13" s="11" t="s">
        <v>10</v>
      </c>
      <c r="C13" s="8" t="s">
        <v>9</v>
      </c>
      <c r="D13" s="17" t="str">
        <f>IFERROR(IF(D3&gt;=200,1.86,D14),"")</f>
        <v/>
      </c>
      <c r="E13" s="17" t="str">
        <f t="shared" ref="E13:J13" si="5">IFERROR(IF(E3&gt;=200,1.86,E14),"")</f>
        <v/>
      </c>
      <c r="F13" s="17" t="str">
        <f t="shared" si="5"/>
        <v/>
      </c>
      <c r="G13" s="17" t="str">
        <f t="shared" si="5"/>
        <v/>
      </c>
      <c r="H13" s="17" t="str">
        <f t="shared" si="5"/>
        <v/>
      </c>
      <c r="I13" s="17" t="str">
        <f t="shared" si="5"/>
        <v/>
      </c>
      <c r="J13" s="17" t="str">
        <f t="shared" si="5"/>
        <v/>
      </c>
      <c r="K13" s="17" t="str">
        <f t="shared" ref="K13" si="6">IFERROR(IF(K3&gt;200,1.86,K14),"")</f>
        <v/>
      </c>
    </row>
    <row r="14" spans="2:11" s="4" customFormat="1" hidden="1" x14ac:dyDescent="0.25">
      <c r="B14" s="11" t="s">
        <v>62</v>
      </c>
      <c r="C14" s="8"/>
      <c r="D14" s="17" t="str">
        <f>IFERROR(IF(AND(D4&gt;0,D11&lt;40),D15*0.97,(D15+((-0.0000000031*D11^4+0.0000013234*D11^3-0.0002087068*D11^2+0.0142221655*D11-0.3126825057)*D15))*0.97),"")</f>
        <v/>
      </c>
      <c r="E14" s="17" t="str">
        <f t="shared" ref="E14:J14" si="7">IFERROR(IF(AND(E4&gt;0,E11&lt;40),E15*0.97,(E15+((-0.0000000031*E11^4+0.0000013234*E11^3-0.0002087068*E11^2+0.0142221655*E11-0.3126825057)*E15))*0.97),"")</f>
        <v/>
      </c>
      <c r="F14" s="17" t="str">
        <f t="shared" si="7"/>
        <v/>
      </c>
      <c r="G14" s="17" t="str">
        <f t="shared" si="7"/>
        <v/>
      </c>
      <c r="H14" s="17" t="str">
        <f t="shared" si="7"/>
        <v/>
      </c>
      <c r="I14" s="17" t="str">
        <f t="shared" si="7"/>
        <v/>
      </c>
      <c r="J14" s="17" t="str">
        <f t="shared" si="7"/>
        <v/>
      </c>
      <c r="K14" s="17" t="str">
        <f t="shared" ref="K14" si="8">IFERROR(IF(AND(K4&gt;0,K11&lt;40),K15*0.97,(K15+((-0.0000000031*K11^4+0.0000013234*K11^3-0.0002087068*K11^2+0.0142221655*K11-0.3126825057)*K15)))*0.97,"")</f>
        <v/>
      </c>
    </row>
    <row r="15" spans="2:11" s="4" customFormat="1" hidden="1" x14ac:dyDescent="0.25">
      <c r="B15" s="11" t="s">
        <v>65</v>
      </c>
      <c r="C15" s="8"/>
      <c r="D15" s="17" t="str">
        <f>IFERROR(IF(D16&lt;D18,D18,D16),"")</f>
        <v xml:space="preserve"> </v>
      </c>
      <c r="E15" s="17" t="str">
        <f t="shared" ref="E15:K15" si="9">IFERROR(IF(E16&lt;E18,E18,E16),"")</f>
        <v xml:space="preserve"> </v>
      </c>
      <c r="F15" s="17" t="str">
        <f t="shared" si="9"/>
        <v xml:space="preserve"> </v>
      </c>
      <c r="G15" s="17" t="str">
        <f t="shared" si="9"/>
        <v xml:space="preserve"> </v>
      </c>
      <c r="H15" s="17" t="str">
        <f t="shared" si="9"/>
        <v xml:space="preserve"> </v>
      </c>
      <c r="I15" s="17" t="str">
        <f t="shared" si="9"/>
        <v xml:space="preserve"> </v>
      </c>
      <c r="J15" s="17" t="str">
        <f t="shared" si="9"/>
        <v xml:space="preserve"> </v>
      </c>
      <c r="K15" s="17" t="str">
        <f t="shared" si="9"/>
        <v xml:space="preserve"> </v>
      </c>
    </row>
    <row r="16" spans="2:11" s="4" customFormat="1" hidden="1" x14ac:dyDescent="0.25">
      <c r="B16" s="9" t="s">
        <v>67</v>
      </c>
      <c r="C16" s="2"/>
      <c r="D16" s="17" t="str">
        <f>IF(D4&gt;0,(0.0000255654*(D8^2) - 0.0157978368*(D8) +4.4555073859)," ")</f>
        <v xml:space="preserve"> </v>
      </c>
      <c r="E16" s="17" t="str">
        <f t="shared" ref="E16:K16" si="10">IF(E3&gt;0,(0.0000255654*(E8^2) - 0.0157978368*(E8) +4.4555073859)," ")</f>
        <v xml:space="preserve"> </v>
      </c>
      <c r="F16" s="17" t="str">
        <f t="shared" si="10"/>
        <v xml:space="preserve"> </v>
      </c>
      <c r="G16" s="17" t="str">
        <f t="shared" si="10"/>
        <v xml:space="preserve"> </v>
      </c>
      <c r="H16" s="17" t="str">
        <f t="shared" si="10"/>
        <v xml:space="preserve"> </v>
      </c>
      <c r="I16" s="17" t="str">
        <f t="shared" si="10"/>
        <v xml:space="preserve"> </v>
      </c>
      <c r="J16" s="17" t="str">
        <f t="shared" si="10"/>
        <v xml:space="preserve"> </v>
      </c>
      <c r="K16" s="17" t="str">
        <f t="shared" si="10"/>
        <v xml:space="preserve"> </v>
      </c>
    </row>
    <row r="17" spans="2:20" s="4" customFormat="1" hidden="1" x14ac:dyDescent="0.25">
      <c r="B17" s="9" t="s">
        <v>66</v>
      </c>
      <c r="C17" s="2"/>
      <c r="D17" s="17" t="str">
        <f>IF(D3&gt;0,(0.0000255654*(D6^2) - 0.0157978368*(D6) +4.4555073859)," ")</f>
        <v xml:space="preserve"> </v>
      </c>
      <c r="E17" s="17" t="str">
        <f t="shared" ref="E17:K17" si="11">IF(E3&gt;0,(0.0000255654*(E6^2) - 0.0157978368*(E6) +4.4555073859)," ")</f>
        <v xml:space="preserve"> </v>
      </c>
      <c r="F17" s="17" t="str">
        <f t="shared" si="11"/>
        <v xml:space="preserve"> </v>
      </c>
      <c r="G17" s="17" t="str">
        <f t="shared" si="11"/>
        <v xml:space="preserve"> </v>
      </c>
      <c r="H17" s="17" t="str">
        <f t="shared" si="11"/>
        <v xml:space="preserve"> </v>
      </c>
      <c r="I17" s="17" t="str">
        <f t="shared" si="11"/>
        <v xml:space="preserve"> </v>
      </c>
      <c r="J17" s="17" t="str">
        <f t="shared" si="11"/>
        <v xml:space="preserve"> </v>
      </c>
      <c r="K17" s="17" t="str">
        <f t="shared" si="11"/>
        <v xml:space="preserve"> </v>
      </c>
    </row>
    <row r="18" spans="2:20" s="4" customFormat="1" hidden="1" x14ac:dyDescent="0.25">
      <c r="B18" s="9" t="s">
        <v>61</v>
      </c>
      <c r="C18" s="2"/>
      <c r="D18" s="17" t="str">
        <f>IFERROR(D17*0.85,"")</f>
        <v/>
      </c>
      <c r="E18" s="17" t="str">
        <f t="shared" ref="E18:K18" si="12">IFERROR(E17*0.85,"")</f>
        <v/>
      </c>
      <c r="F18" s="17" t="str">
        <f t="shared" si="12"/>
        <v/>
      </c>
      <c r="G18" s="17" t="str">
        <f t="shared" si="12"/>
        <v/>
      </c>
      <c r="H18" s="17" t="str">
        <f t="shared" si="12"/>
        <v/>
      </c>
      <c r="I18" s="17" t="str">
        <f t="shared" si="12"/>
        <v/>
      </c>
      <c r="J18" s="17" t="str">
        <f t="shared" si="12"/>
        <v/>
      </c>
      <c r="K18" s="17" t="str">
        <f t="shared" si="12"/>
        <v/>
      </c>
    </row>
    <row r="19" spans="2:20" s="4" customFormat="1" x14ac:dyDescent="0.25">
      <c r="B19" s="11" t="s">
        <v>11</v>
      </c>
      <c r="C19" s="8" t="s">
        <v>12</v>
      </c>
      <c r="D19" s="17" t="str">
        <f t="shared" ref="D19:K19" si="13">IF(D$5&gt;0,(D13*(D$5*2.204622)/10000)," ")</f>
        <v xml:space="preserve"> </v>
      </c>
      <c r="E19" s="17" t="str">
        <f t="shared" si="13"/>
        <v xml:space="preserve"> </v>
      </c>
      <c r="F19" s="17" t="str">
        <f t="shared" si="13"/>
        <v xml:space="preserve"> </v>
      </c>
      <c r="G19" s="17" t="str">
        <f t="shared" si="13"/>
        <v xml:space="preserve"> </v>
      </c>
      <c r="H19" s="17" t="str">
        <f t="shared" si="13"/>
        <v xml:space="preserve"> </v>
      </c>
      <c r="I19" s="17" t="str">
        <f t="shared" si="13"/>
        <v xml:space="preserve"> </v>
      </c>
      <c r="J19" s="17" t="str">
        <f t="shared" si="13"/>
        <v xml:space="preserve"> </v>
      </c>
      <c r="K19" s="17" t="str">
        <f t="shared" si="13"/>
        <v xml:space="preserve"> </v>
      </c>
    </row>
    <row r="20" spans="2:20" s="4" customFormat="1" x14ac:dyDescent="0.25">
      <c r="B20" s="11" t="s">
        <v>36</v>
      </c>
      <c r="C20" s="5" t="s">
        <v>17</v>
      </c>
      <c r="D20" s="21" t="str">
        <f>IFERROR(MAX((VLOOKUP(D$4,'AA ratios - Imperial'!$A$2:$J$324,2,TRUE)),(VLOOKUP(D$3,'AA ratios - Imperial'!$A$2:$J$324,2,TRUE))),"")</f>
        <v/>
      </c>
      <c r="E20" s="21" t="str">
        <f>IFERROR(MAX((VLOOKUP(E$4,'AA ratios - Imperial'!$A$2:$J$324,2,TRUE)),(VLOOKUP(E$3,'AA ratios - Imperial'!$A$2:$J$324,2,TRUE))),"")</f>
        <v/>
      </c>
      <c r="F20" s="21" t="str">
        <f>IFERROR(MAX((VLOOKUP(F$4,'AA ratios - Imperial'!$A$2:$J$324,2,TRUE)),(VLOOKUP(F$3,'AA ratios - Imperial'!$A$2:$J$324,2,TRUE))),"")</f>
        <v/>
      </c>
      <c r="G20" s="21" t="str">
        <f>IFERROR(MAX((VLOOKUP(G$4,'AA ratios - Imperial'!$A$2:$J$324,2,TRUE)),(VLOOKUP(G$3,'AA ratios - Imperial'!$A$2:$J$324,2,TRUE))),"")</f>
        <v/>
      </c>
      <c r="H20" s="21" t="str">
        <f>IFERROR(MAX((VLOOKUP(H$4,'AA ratios - Imperial'!$A$2:$J$324,2,TRUE)),(VLOOKUP(H$3,'AA ratios - Imperial'!$A$2:$J$324,2,TRUE))),"")</f>
        <v/>
      </c>
      <c r="I20" s="21" t="str">
        <f>IFERROR(MAX((VLOOKUP(I$4,'AA ratios - Imperial'!$A$2:$J$324,2,TRUE)),(VLOOKUP(I$3,'AA ratios - Imperial'!$A$2:$J$324,2,TRUE))),"")</f>
        <v/>
      </c>
      <c r="J20" s="21" t="str">
        <f>IFERROR(MAX((VLOOKUP(J$4,'AA ratios - Imperial'!$A$2:$J$324,2,TRUE)),(VLOOKUP(J$3,'AA ratios - Imperial'!$A$2:$J$324,2,TRUE))),"")</f>
        <v/>
      </c>
      <c r="K20" s="21" t="str">
        <f>IFERROR(MAX((VLOOKUP(K$4,'AA ratios - Imperial'!$A$2:$J$324,2,TRUE)),(VLOOKUP(K$3,'AA ratios - Imperial'!$A$2:$J$324,2,TRUE))),"")</f>
        <v/>
      </c>
    </row>
    <row r="21" spans="2:20" x14ac:dyDescent="0.25">
      <c r="B21" s="11" t="s">
        <v>37</v>
      </c>
      <c r="C21" s="5" t="s">
        <v>17</v>
      </c>
      <c r="D21" s="21" t="str">
        <f>IFERROR(MAX((VLOOKUP(D$4,'AA ratios - Imperial'!$A$2:$J$324,3,TRUE)),(VLOOKUP(D$3,'AA ratios - Imperial'!$A$2:$J$324,3,TRUE))),"")</f>
        <v/>
      </c>
      <c r="E21" s="21" t="str">
        <f>IFERROR(MAX((VLOOKUP(E$4,'AA ratios - Imperial'!$A$2:$J$324,3,TRUE)),(VLOOKUP(E$3,'AA ratios - Imperial'!$A$2:$J$324,3,TRUE))),"")</f>
        <v/>
      </c>
      <c r="F21" s="21" t="str">
        <f>IFERROR(MAX((VLOOKUP(F$4,'AA ratios - Imperial'!$A$2:$J$324,3,TRUE)),(VLOOKUP(F$3,'AA ratios - Imperial'!$A$2:$J$324,3,TRUE))),"")</f>
        <v/>
      </c>
      <c r="G21" s="21" t="str">
        <f>IFERROR(MAX((VLOOKUP(G$4,'AA ratios - Imperial'!$A$2:$J$324,3,TRUE)),(VLOOKUP(G$3,'AA ratios - Imperial'!$A$2:$J$324,3,TRUE))),"")</f>
        <v/>
      </c>
      <c r="H21" s="21" t="str">
        <f>IFERROR(MAX((VLOOKUP(H$4,'AA ratios - Imperial'!$A$2:$J$324,3,TRUE)),(VLOOKUP(H$3,'AA ratios - Imperial'!$A$2:$J$324,3,TRUE))),"")</f>
        <v/>
      </c>
      <c r="I21" s="21" t="str">
        <f>IFERROR(MAX((VLOOKUP(I$4,'AA ratios - Imperial'!$A$2:$J$324,3,TRUE)),(VLOOKUP(I$3,'AA ratios - Imperial'!$A$2:$J$324,3,TRUE))),"")</f>
        <v/>
      </c>
      <c r="J21" s="21" t="str">
        <f>IFERROR(MAX((VLOOKUP(J$4,'AA ratios - Imperial'!$A$2:$J$324,3,TRUE)),(VLOOKUP(J$3,'AA ratios - Imperial'!$A$2:$J$324,3,TRUE))),"")</f>
        <v/>
      </c>
      <c r="K21" s="21" t="str">
        <f>IFERROR(MAX((VLOOKUP(K$4,'AA ratios - Imperial'!$A$2:$J$324,3,TRUE)),(VLOOKUP(K$3,'AA ratios - Imperial'!$A$2:$J$324,3,TRUE))),"")</f>
        <v/>
      </c>
    </row>
    <row r="22" spans="2:20" x14ac:dyDescent="0.25">
      <c r="B22" s="11" t="s">
        <v>38</v>
      </c>
      <c r="C22" s="5" t="s">
        <v>17</v>
      </c>
      <c r="D22" s="21" t="str">
        <f>IFERROR(MAX((VLOOKUP(D$4,'AA ratios - Imperial'!$A$2:$J$324,4,TRUE)),(VLOOKUP(D$3,'AA ratios - Imperial'!$A$2:$J$324,4,TRUE))),"")</f>
        <v/>
      </c>
      <c r="E22" s="21" t="str">
        <f>IFERROR(MAX((VLOOKUP(E$4,'AA ratios - Imperial'!$A$2:$J$324,4,TRUE)),(VLOOKUP(E$3,'AA ratios - Imperial'!$A$2:$J$324,4,TRUE))),"")</f>
        <v/>
      </c>
      <c r="F22" s="21" t="str">
        <f>IFERROR(MAX((VLOOKUP(F$4,'AA ratios - Imperial'!$A$2:$J$324,4,TRUE)),(VLOOKUP(F$3,'AA ratios - Imperial'!$A$2:$J$324,4,TRUE))),"")</f>
        <v/>
      </c>
      <c r="G22" s="21" t="str">
        <f>IFERROR(MAX((VLOOKUP(G$4,'AA ratios - Imperial'!$A$2:$J$324,4,TRUE)),(VLOOKUP(G$3,'AA ratios - Imperial'!$A$2:$J$324,4,TRUE))),"")</f>
        <v/>
      </c>
      <c r="H22" s="21" t="str">
        <f>IFERROR(MAX((VLOOKUP(H$4,'AA ratios - Imperial'!$A$2:$J$324,4,TRUE)),(VLOOKUP(H$3,'AA ratios - Imperial'!$A$2:$J$324,4,TRUE))),"")</f>
        <v/>
      </c>
      <c r="I22" s="21" t="str">
        <f>IFERROR(MAX((VLOOKUP(I$4,'AA ratios - Imperial'!$A$2:$J$324,4,TRUE)),(VLOOKUP(I$3,'AA ratios - Imperial'!$A$2:$J$324,4,TRUE))),"")</f>
        <v/>
      </c>
      <c r="J22" s="21" t="str">
        <f>IFERROR(MAX((VLOOKUP(J$4,'AA ratios - Imperial'!$A$2:$J$324,4,TRUE)),(VLOOKUP(J$3,'AA ratios - Imperial'!$A$2:$J$324,4,TRUE))),"")</f>
        <v/>
      </c>
      <c r="K22" s="21" t="str">
        <f>IFERROR(MAX((VLOOKUP(K$4,'AA ratios - Imperial'!$A$2:$J$324,4,TRUE)),(VLOOKUP(K$3,'AA ratios - Imperial'!$A$2:$J$324,4,TRUE))),"")</f>
        <v/>
      </c>
    </row>
    <row r="23" spans="2:20" x14ac:dyDescent="0.25">
      <c r="B23" s="11" t="s">
        <v>39</v>
      </c>
      <c r="C23" s="5" t="s">
        <v>17</v>
      </c>
      <c r="D23" s="21" t="str">
        <f>IFERROR(MAX((VLOOKUP(D$4,'AA ratios - Imperial'!$A$2:$J$324,5,TRUE)),(VLOOKUP(D$3,'AA ratios - Imperial'!$A$2:$J$324,5,TRUE))),"")</f>
        <v/>
      </c>
      <c r="E23" s="21" t="str">
        <f>IFERROR(MAX((VLOOKUP(E$4,'AA ratios - Imperial'!$A$2:$J$324,5,TRUE)),(VLOOKUP(E$3,'AA ratios - Imperial'!$A$2:$J$324,5,TRUE))),"")</f>
        <v/>
      </c>
      <c r="F23" s="21" t="str">
        <f>IFERROR(MAX((VLOOKUP(F$4,'AA ratios - Imperial'!$A$2:$J$324,5,TRUE)),(VLOOKUP(F$3,'AA ratios - Imperial'!$A$2:$J$324,5,TRUE))),"")</f>
        <v/>
      </c>
      <c r="G23" s="21" t="str">
        <f>IFERROR(MAX((VLOOKUP(G$4,'AA ratios - Imperial'!$A$2:$J$324,5,TRUE)),(VLOOKUP(G$3,'AA ratios - Imperial'!$A$2:$J$324,5,TRUE))),"")</f>
        <v/>
      </c>
      <c r="H23" s="21" t="str">
        <f>IFERROR(MAX((VLOOKUP(H$4,'AA ratios - Imperial'!$A$2:$J$324,5,TRUE)),(VLOOKUP(H$3,'AA ratios - Imperial'!$A$2:$J$324,5,TRUE))),"")</f>
        <v/>
      </c>
      <c r="I23" s="21" t="str">
        <f>IFERROR(MAX((VLOOKUP(I$4,'AA ratios - Imperial'!$A$2:$J$324,5,TRUE)),(VLOOKUP(I$3,'AA ratios - Imperial'!$A$2:$J$324,5,TRUE))),"")</f>
        <v/>
      </c>
      <c r="J23" s="21" t="str">
        <f>IFERROR(MAX((VLOOKUP(J$4,'AA ratios - Imperial'!$A$2:$J$324,5,TRUE)),(VLOOKUP(J$3,'AA ratios - Imperial'!$A$2:$J$324,5,TRUE))),"")</f>
        <v/>
      </c>
      <c r="K23" s="21" t="str">
        <f>IFERROR(MAX((VLOOKUP(K$4,'AA ratios - Imperial'!$A$2:$J$324,5,TRUE)),(VLOOKUP(K$3,'AA ratios - Imperial'!$A$2:$J$324,5,TRUE))),"")</f>
        <v/>
      </c>
    </row>
    <row r="24" spans="2:20" x14ac:dyDescent="0.25">
      <c r="B24" s="31" t="s">
        <v>40</v>
      </c>
      <c r="C24" s="18" t="s">
        <v>17</v>
      </c>
      <c r="D24" s="21" t="str">
        <f>IFERROR(MAX((VLOOKUP(D$4,'AA ratios - Imperial'!$A$2:$J$324,6,TRUE)),(VLOOKUP(D$3,'AA ratios - Imperial'!$A$2:$J$324,6,TRUE))),"")</f>
        <v/>
      </c>
      <c r="E24" s="21" t="str">
        <f>IFERROR(MAX((VLOOKUP(E$4,'AA ratios - Imperial'!$A$2:$J$324,6,TRUE)),(VLOOKUP(E$3,'AA ratios - Imperial'!$A$2:$J$324,6,TRUE))),"")</f>
        <v/>
      </c>
      <c r="F24" s="21" t="str">
        <f>IFERROR(MAX((VLOOKUP(F$4,'AA ratios - Imperial'!$A$2:$J$324,6,TRUE)),(VLOOKUP(F$3,'AA ratios - Imperial'!$A$2:$J$324,6,TRUE))),"")</f>
        <v/>
      </c>
      <c r="G24" s="21" t="str">
        <f>IFERROR(MAX((VLOOKUP(G$4,'AA ratios - Imperial'!$A$2:$J$324,6,TRUE)),(VLOOKUP(G$3,'AA ratios - Imperial'!$A$2:$J$324,6,TRUE))),"")</f>
        <v/>
      </c>
      <c r="H24" s="21" t="str">
        <f>IFERROR(MAX((VLOOKUP(H$4,'AA ratios - Imperial'!$A$2:$J$324,6,TRUE)),(VLOOKUP(H$3,'AA ratios - Imperial'!$A$2:$J$324,6,TRUE))),"")</f>
        <v/>
      </c>
      <c r="I24" s="21" t="str">
        <f>IFERROR(MAX((VLOOKUP(I$4,'AA ratios - Imperial'!$A$2:$J$324,6,TRUE)),(VLOOKUP(I$3,'AA ratios - Imperial'!$A$2:$J$324,6,TRUE))),"")</f>
        <v/>
      </c>
      <c r="J24" s="21" t="str">
        <f>IFERROR(MAX((VLOOKUP(J$4,'AA ratios - Imperial'!$A$2:$J$324,6,TRUE)),(VLOOKUP(J$3,'AA ratios - Imperial'!$A$2:$J$324,6,TRUE))),"")</f>
        <v/>
      </c>
      <c r="K24" s="21" t="str">
        <f>IFERROR(MAX((VLOOKUP(K$4,'AA ratios - Imperial'!$A$2:$J$324,6,TRUE)),(VLOOKUP(K$3,'AA ratios - Imperial'!$A$2:$J$324,6,TRUE))),"")</f>
        <v/>
      </c>
    </row>
    <row r="25" spans="2:20" x14ac:dyDescent="0.25">
      <c r="B25" s="31" t="s">
        <v>41</v>
      </c>
      <c r="C25" s="18" t="s">
        <v>17</v>
      </c>
      <c r="D25" s="21" t="str">
        <f>IFERROR(MAX((VLOOKUP(D$4,'AA ratios - Imperial'!$A$2:$J$324,7,TRUE)),(VLOOKUP(D$3,'AA ratios - Imperial'!$A$2:$J$324,7,TRUE))),"")</f>
        <v/>
      </c>
      <c r="E25" s="21" t="str">
        <f>IFERROR(MAX((VLOOKUP(E$4,'AA ratios - Imperial'!$A$2:$J$324,7,TRUE)),(VLOOKUP(E$3,'AA ratios - Imperial'!$A$2:$J$324,7,TRUE))),"")</f>
        <v/>
      </c>
      <c r="F25" s="21" t="str">
        <f>IFERROR(MAX((VLOOKUP(F$4,'AA ratios - Imperial'!$A$2:$J$324,7,TRUE)),(VLOOKUP(F$3,'AA ratios - Imperial'!$A$2:$J$324,7,TRUE))),"")</f>
        <v/>
      </c>
      <c r="G25" s="21" t="str">
        <f>IFERROR(MAX((VLOOKUP(G$4,'AA ratios - Imperial'!$A$2:$J$324,7,TRUE)),(VLOOKUP(G$3,'AA ratios - Imperial'!$A$2:$J$324,7,TRUE))),"")</f>
        <v/>
      </c>
      <c r="H25" s="21" t="str">
        <f>IFERROR(MAX((VLOOKUP(H$4,'AA ratios - Imperial'!$A$2:$J$324,7,TRUE)),(VLOOKUP(H$3,'AA ratios - Imperial'!$A$2:$J$324,7,TRUE))),"")</f>
        <v/>
      </c>
      <c r="I25" s="21" t="str">
        <f>IFERROR(MAX((VLOOKUP(I$4,'AA ratios - Imperial'!$A$2:$J$324,7,TRUE)),(VLOOKUP(I$3,'AA ratios - Imperial'!$A$2:$J$324,7,TRUE))),"")</f>
        <v/>
      </c>
      <c r="J25" s="21" t="str">
        <f>IFERROR(MAX((VLOOKUP(J$4,'AA ratios - Imperial'!$A$2:$J$324,7,TRUE)),(VLOOKUP(J$3,'AA ratios - Imperial'!$A$2:$J$324,7,TRUE))),"")</f>
        <v/>
      </c>
      <c r="K25" s="21" t="str">
        <f>IFERROR(MAX((VLOOKUP(K$4,'AA ratios - Imperial'!$A$2:$J$324,7,TRUE)),(VLOOKUP(K$3,'AA ratios - Imperial'!$A$2:$J$324,7,TRUE))),"")</f>
        <v/>
      </c>
    </row>
    <row r="26" spans="2:20" x14ac:dyDescent="0.25">
      <c r="B26" s="31" t="s">
        <v>42</v>
      </c>
      <c r="C26" s="18" t="s">
        <v>17</v>
      </c>
      <c r="D26" s="21" t="str">
        <f>IFERROR(MAX((VLOOKUP(D$4,'AA ratios - Imperial'!$A$2:$J$324,8,TRUE)),(VLOOKUP(D$3,'AA ratios - Imperial'!$A$2:$J$324,8,TRUE))),"")</f>
        <v/>
      </c>
      <c r="E26" s="21" t="str">
        <f>IFERROR(MAX((VLOOKUP(E$4,'AA ratios - Imperial'!$A$2:$J$324,8,TRUE)),(VLOOKUP(E$3,'AA ratios - Imperial'!$A$2:$J$324,8,TRUE))),"")</f>
        <v/>
      </c>
      <c r="F26" s="21" t="str">
        <f>IFERROR(MAX((VLOOKUP(F$4,'AA ratios - Imperial'!$A$2:$J$324,8,TRUE)),(VLOOKUP(F$3,'AA ratios - Imperial'!$A$2:$J$324,8,TRUE))),"")</f>
        <v/>
      </c>
      <c r="G26" s="21" t="str">
        <f>IFERROR(MAX((VLOOKUP(G$4,'AA ratios - Imperial'!$A$2:$J$324,8,TRUE)),(VLOOKUP(G$3,'AA ratios - Imperial'!$A$2:$J$324,8,TRUE))),"")</f>
        <v/>
      </c>
      <c r="H26" s="21" t="str">
        <f>IFERROR(MAX((VLOOKUP(H$4,'AA ratios - Imperial'!$A$2:$J$324,8,TRUE)),(VLOOKUP(H$3,'AA ratios - Imperial'!$A$2:$J$324,8,TRUE))),"")</f>
        <v/>
      </c>
      <c r="I26" s="21" t="str">
        <f>IFERROR(MAX((VLOOKUP(I$4,'AA ratios - Imperial'!$A$2:$J$324,8,TRUE)),(VLOOKUP(I$3,'AA ratios - Imperial'!$A$2:$J$324,8,TRUE))),"")</f>
        <v/>
      </c>
      <c r="J26" s="21" t="str">
        <f>IFERROR(MAX((VLOOKUP(J$4,'AA ratios - Imperial'!$A$2:$J$324,8,TRUE)),(VLOOKUP(J$3,'AA ratios - Imperial'!$A$2:$J$324,8,TRUE))),"")</f>
        <v/>
      </c>
      <c r="K26" s="21" t="str">
        <f>IFERROR(MAX((VLOOKUP(K$4,'AA ratios - Imperial'!$A$2:$J$324,8,TRUE)),(VLOOKUP(K$3,'AA ratios - Imperial'!$A$2:$J$324,8,TRUE))),"")</f>
        <v/>
      </c>
    </row>
    <row r="27" spans="2:20" x14ac:dyDescent="0.25">
      <c r="B27" s="31" t="s">
        <v>43</v>
      </c>
      <c r="C27" s="18" t="s">
        <v>17</v>
      </c>
      <c r="D27" s="21" t="str">
        <f>IFERROR(MAX((VLOOKUP(D$4,'AA ratios - Imperial'!$A$2:$J$324,9,TRUE)),(VLOOKUP(D$3,'AA ratios - Imperial'!$A$2:$J$324,9,TRUE))),"")</f>
        <v/>
      </c>
      <c r="E27" s="21" t="str">
        <f>IFERROR(MAX((VLOOKUP(E$4,'AA ratios - Imperial'!$A$2:$J$324,9,TRUE)),(VLOOKUP(E$3,'AA ratios - Imperial'!$A$2:$J$324,9,TRUE))),"")</f>
        <v/>
      </c>
      <c r="F27" s="21" t="str">
        <f>IFERROR(MAX((VLOOKUP(F$4,'AA ratios - Imperial'!$A$2:$J$324,9,TRUE)),(VLOOKUP(F$3,'AA ratios - Imperial'!$A$2:$J$324,9,TRUE))),"")</f>
        <v/>
      </c>
      <c r="G27" s="21" t="str">
        <f>IFERROR(MAX((VLOOKUP(G$4,'AA ratios - Imperial'!$A$2:$J$324,9,TRUE)),(VLOOKUP(G$3,'AA ratios - Imperial'!$A$2:$J$324,9,TRUE))),"")</f>
        <v/>
      </c>
      <c r="H27" s="21" t="str">
        <f>IFERROR(MAX((VLOOKUP(H$4,'AA ratios - Imperial'!$A$2:$J$324,9,TRUE)),(VLOOKUP(H$3,'AA ratios - Imperial'!$A$2:$J$324,9,TRUE))),"")</f>
        <v/>
      </c>
      <c r="I27" s="21" t="str">
        <f>IFERROR(MAX((VLOOKUP(I$4,'AA ratios - Imperial'!$A$2:$J$324,9,TRUE)),(VLOOKUP(I$3,'AA ratios - Imperial'!$A$2:$J$324,9,TRUE))),"")</f>
        <v/>
      </c>
      <c r="J27" s="21" t="str">
        <f>IFERROR(MAX((VLOOKUP(J$4,'AA ratios - Imperial'!$A$2:$J$324,9,TRUE)),(VLOOKUP(J$3,'AA ratios - Imperial'!$A$2:$J$324,9,TRUE))),"")</f>
        <v/>
      </c>
      <c r="K27" s="21" t="str">
        <f>IFERROR(MAX((VLOOKUP(K$4,'AA ratios - Imperial'!$A$2:$J$324,9,TRUE)),(VLOOKUP(K$3,'AA ratios - Imperial'!$A$2:$J$324,9,TRUE))),"")</f>
        <v/>
      </c>
    </row>
    <row r="28" spans="2:20" ht="15.75" thickBot="1" x14ac:dyDescent="0.3">
      <c r="B28" s="32" t="s">
        <v>50</v>
      </c>
      <c r="C28" s="29" t="s">
        <v>12</v>
      </c>
      <c r="D28" s="42" t="str">
        <f>IFERROR(AVERAGE((VLOOKUP(D$4,'AA ratios - Imperial'!$A$2:$J$324,10,TRUE)),(VLOOKUP(D$3,'AA ratios - Imperial'!$A$2:$J$324,10,TRUE))),"")</f>
        <v/>
      </c>
      <c r="E28" s="42" t="str">
        <f>IFERROR(AVERAGE((VLOOKUP(E$4,'AA ratios - Imperial'!$A$2:$J$324,10,TRUE)),(VLOOKUP(E$3,'AA ratios - Imperial'!$A$2:$J$324,10,TRUE))),"")</f>
        <v/>
      </c>
      <c r="F28" s="42" t="str">
        <f>IFERROR(AVERAGE((VLOOKUP(F$4,'AA ratios - Imperial'!$A$2:$J$324,10,TRUE)),(VLOOKUP(F$3,'AA ratios - Imperial'!$A$2:$J$324,10,TRUE))),"")</f>
        <v/>
      </c>
      <c r="G28" s="42" t="str">
        <f>IFERROR(AVERAGE((VLOOKUP(G$4,'AA ratios - Imperial'!$A$2:$J$324,10,TRUE)),(VLOOKUP(G$3,'AA ratios - Imperial'!$A$2:$J$324,10,TRUE))),"")</f>
        <v/>
      </c>
      <c r="H28" s="42" t="str">
        <f>IFERROR(AVERAGE((VLOOKUP(H$4,'AA ratios - Imperial'!$A$2:$J$324,10,TRUE)),(VLOOKUP(H$3,'AA ratios - Imperial'!$A$2:$J$324,10,TRUE))),"")</f>
        <v/>
      </c>
      <c r="I28" s="42" t="str">
        <f>IFERROR(AVERAGE((VLOOKUP(I$4,'AA ratios - Imperial'!$A$2:$J$324,10,TRUE)),(VLOOKUP(I$3,'AA ratios - Imperial'!$A$2:$J$324,10,TRUE))),"")</f>
        <v/>
      </c>
      <c r="J28" s="42" t="str">
        <f>IFERROR(AVERAGE((VLOOKUP(J$4,'AA ratios - Imperial'!$A$2:$J$324,10,TRUE)),(VLOOKUP(J$3,'AA ratios - Imperial'!$A$2:$J$324,10,TRUE))),"")</f>
        <v/>
      </c>
      <c r="K28" s="42" t="str">
        <f>IFERROR(AVERAGE((VLOOKUP(K$4,'AA ratios - Imperial'!$A$2:$J$324,10,TRUE)),(VLOOKUP(K$3,'AA ratios - Imperial'!$A$2:$J$324,10,TRUE))),"")</f>
        <v/>
      </c>
    </row>
    <row r="29" spans="2:20" x14ac:dyDescent="0.25">
      <c r="B29" s="10" t="s">
        <v>49</v>
      </c>
      <c r="D29" s="13"/>
      <c r="E29" s="13"/>
      <c r="F29" s="13"/>
      <c r="G29" s="13"/>
      <c r="H29" s="13"/>
      <c r="I29" s="3"/>
      <c r="J29" s="3"/>
      <c r="K29" s="3"/>
      <c r="L29" s="3"/>
    </row>
    <row r="30" spans="2:20" x14ac:dyDescent="0.25">
      <c r="B30" s="9" t="s">
        <v>48</v>
      </c>
      <c r="C30" s="2" t="s">
        <v>12</v>
      </c>
      <c r="D30" s="13" t="str">
        <f t="shared" ref="D30:K30" si="14">IF(D3&gt;0,0.25,"")</f>
        <v/>
      </c>
      <c r="E30" s="13" t="str">
        <f t="shared" si="14"/>
        <v/>
      </c>
      <c r="F30" s="13" t="str">
        <f t="shared" si="14"/>
        <v/>
      </c>
      <c r="G30" s="13" t="str">
        <f t="shared" si="14"/>
        <v/>
      </c>
      <c r="H30" s="13" t="str">
        <f t="shared" si="14"/>
        <v/>
      </c>
      <c r="I30" s="13" t="str">
        <f t="shared" si="14"/>
        <v/>
      </c>
      <c r="J30" s="13" t="str">
        <f t="shared" si="14"/>
        <v/>
      </c>
      <c r="K30" s="13" t="str">
        <f t="shared" si="14"/>
        <v/>
      </c>
    </row>
    <row r="31" spans="2:20" x14ac:dyDescent="0.25">
      <c r="B31" s="9" t="s">
        <v>18</v>
      </c>
      <c r="C31" s="2" t="s">
        <v>12</v>
      </c>
      <c r="D31" s="13" t="str">
        <f>IF(D3&gt;0,0.25,"")</f>
        <v/>
      </c>
      <c r="E31" s="13" t="str">
        <f t="shared" ref="E31:K31" si="15">IF(E3&gt;0,0.25,"")</f>
        <v/>
      </c>
      <c r="F31" s="13" t="str">
        <f t="shared" si="15"/>
        <v/>
      </c>
      <c r="G31" s="13" t="str">
        <f t="shared" si="15"/>
        <v/>
      </c>
      <c r="H31" s="13" t="str">
        <f t="shared" si="15"/>
        <v/>
      </c>
      <c r="I31" s="13" t="str">
        <f t="shared" si="15"/>
        <v/>
      </c>
      <c r="J31" s="13" t="str">
        <f t="shared" si="15"/>
        <v/>
      </c>
      <c r="K31" s="13" t="str">
        <f t="shared" si="15"/>
        <v/>
      </c>
    </row>
    <row r="32" spans="2:20" x14ac:dyDescent="0.25">
      <c r="B32" s="31" t="s">
        <v>45</v>
      </c>
      <c r="C32" s="13" t="s">
        <v>9</v>
      </c>
      <c r="D32" s="17" t="str">
        <f>IFERROR(IF(D34&lt;D37,D37,D34),"")</f>
        <v/>
      </c>
      <c r="E32" s="17" t="str">
        <f t="shared" ref="E32:K32" si="16">IFERROR(IF(E34&lt;E37,E37,E34),"")</f>
        <v/>
      </c>
      <c r="F32" s="17" t="str">
        <f t="shared" si="16"/>
        <v/>
      </c>
      <c r="G32" s="17" t="str">
        <f t="shared" si="16"/>
        <v/>
      </c>
      <c r="H32" s="17" t="str">
        <f t="shared" si="16"/>
        <v/>
      </c>
      <c r="I32" s="17" t="str">
        <f t="shared" si="16"/>
        <v/>
      </c>
      <c r="J32" s="17" t="str">
        <f t="shared" si="16"/>
        <v/>
      </c>
      <c r="K32" s="17" t="str">
        <f t="shared" si="16"/>
        <v/>
      </c>
      <c r="L32" s="19"/>
      <c r="M32" s="19"/>
      <c r="N32" s="12"/>
      <c r="O32" s="12"/>
      <c r="P32" s="12"/>
      <c r="Q32" s="12"/>
      <c r="R32" s="12"/>
      <c r="S32" s="12"/>
      <c r="T32" s="12" t="s">
        <v>55</v>
      </c>
    </row>
    <row r="33" spans="2:19" hidden="1" x14ac:dyDescent="0.25">
      <c r="B33" s="54" t="s">
        <v>67</v>
      </c>
      <c r="C33" s="13"/>
      <c r="D33" s="17" t="str">
        <f>IF(D3&gt;0,(0.0000306269361758696*(D11^2) - 0.00966436147205444*(D11) +1.47675067863161)," ")</f>
        <v xml:space="preserve"> </v>
      </c>
      <c r="E33" s="17" t="str">
        <f t="shared" ref="E33:K33" si="17">IF(E3&gt;0,(0.0000306269361758696*(E11^2) - 0.00966436147205444*(E11) +1.47675067863161)," ")</f>
        <v xml:space="preserve"> </v>
      </c>
      <c r="F33" s="17" t="str">
        <f>IF(F3&gt;0,(0.0000306269361758696*(F11^2) - 0.00966436147205444*(F11) +1.47675067863161)," ")</f>
        <v xml:space="preserve"> </v>
      </c>
      <c r="G33" s="17" t="str">
        <f t="shared" si="17"/>
        <v xml:space="preserve"> </v>
      </c>
      <c r="H33" s="17" t="str">
        <f t="shared" si="17"/>
        <v xml:space="preserve"> </v>
      </c>
      <c r="I33" s="17" t="str">
        <f t="shared" si="17"/>
        <v xml:space="preserve"> </v>
      </c>
      <c r="J33" s="17" t="str">
        <f t="shared" si="17"/>
        <v xml:space="preserve"> </v>
      </c>
      <c r="K33" s="17" t="str">
        <f t="shared" si="17"/>
        <v xml:space="preserve"> </v>
      </c>
      <c r="L33" s="17" t="str">
        <f>IF(L3&gt;0,(0.0000306269361758696*(L11^2) - 0.00966436147205444*(L11) +1.47675067863161)," ")</f>
        <v xml:space="preserve"> </v>
      </c>
      <c r="M33" s="17" t="str">
        <f>IF(M3&gt;0,(0.0000306269361758696*(M11^2) - 0.00966436147205444*(M11) +1.47675067863161)," ")</f>
        <v xml:space="preserve"> </v>
      </c>
      <c r="N33" s="12"/>
      <c r="O33" s="12"/>
      <c r="P33" s="12"/>
      <c r="Q33" s="12"/>
      <c r="R33" s="12"/>
      <c r="S33" s="12"/>
    </row>
    <row r="34" spans="2:19" hidden="1" x14ac:dyDescent="0.25">
      <c r="B34" s="54" t="s">
        <v>92</v>
      </c>
      <c r="C34" s="13"/>
      <c r="D34" s="17" t="str">
        <f>IFERROR(IF(AND(D3&gt;0,D11&lt;40),D33*1.08,(D33+((-0.0000000031*D11^4+0.0000013234*D11^3-0.0002087068*D11^2+0.0142221655*D11-0.3126825057)*D33))*1.08),"")</f>
        <v/>
      </c>
      <c r="E34" s="17" t="str">
        <f t="shared" ref="E34:K34" si="18">IFERROR(IF(AND(E3&gt;0,E11&lt;40),E33*1.08,(E33+((-0.0000000031*E11^4+0.0000013234*E11^3-0.0002087068*E11^2+0.0142221655*E11-0.3126825057)*E33))*1.08),"")</f>
        <v/>
      </c>
      <c r="F34" s="17" t="str">
        <f t="shared" si="18"/>
        <v/>
      </c>
      <c r="G34" s="17" t="str">
        <f t="shared" si="18"/>
        <v/>
      </c>
      <c r="H34" s="17" t="str">
        <f t="shared" si="18"/>
        <v/>
      </c>
      <c r="I34" s="17" t="str">
        <f t="shared" si="18"/>
        <v/>
      </c>
      <c r="J34" s="17" t="str">
        <f t="shared" si="18"/>
        <v/>
      </c>
      <c r="K34" s="17" t="str">
        <f t="shared" si="18"/>
        <v/>
      </c>
      <c r="L34" s="17"/>
      <c r="M34" s="17"/>
      <c r="N34" s="12"/>
      <c r="O34" s="12"/>
      <c r="P34" s="12"/>
      <c r="Q34" s="12"/>
      <c r="R34" s="12"/>
      <c r="S34" s="12"/>
    </row>
    <row r="35" spans="2:19" hidden="1" x14ac:dyDescent="0.25">
      <c r="B35" s="54" t="s">
        <v>93</v>
      </c>
      <c r="C35" s="13"/>
      <c r="D35" s="17" t="str">
        <f>IF(D3&gt;0,(0.0000306269361758696*(D9^2) - 0.00966436147205444*(D9) +1.47675067863161)," ")</f>
        <v xml:space="preserve"> </v>
      </c>
      <c r="E35" s="17" t="str">
        <f t="shared" ref="E35:K35" si="19">IF(E3&gt;0,(0.0000306269361758696*(E9^2) - 0.00966436147205444*(E9) +1.47675067863161)," ")</f>
        <v xml:space="preserve"> </v>
      </c>
      <c r="F35" s="17" t="str">
        <f t="shared" si="19"/>
        <v xml:space="preserve"> </v>
      </c>
      <c r="G35" s="17" t="str">
        <f t="shared" si="19"/>
        <v xml:space="preserve"> </v>
      </c>
      <c r="H35" s="17" t="str">
        <f t="shared" si="19"/>
        <v xml:space="preserve"> </v>
      </c>
      <c r="I35" s="17" t="str">
        <f t="shared" si="19"/>
        <v xml:space="preserve"> </v>
      </c>
      <c r="J35" s="17" t="str">
        <f t="shared" si="19"/>
        <v xml:space="preserve"> </v>
      </c>
      <c r="K35" s="17" t="str">
        <f t="shared" si="19"/>
        <v xml:space="preserve"> </v>
      </c>
      <c r="L35" s="17" t="str">
        <f>IF(L3&gt;0,(0.0000306269361758696*(L9^2) - 0.00966436147205444*(L9) +1.47675067863161)," ")</f>
        <v xml:space="preserve"> </v>
      </c>
      <c r="M35" s="17" t="str">
        <f>IF(M3&gt;0,(0.0000306269361758696*(M9^2) - 0.00966436147205444*(M9) +1.47675067863161)," ")</f>
        <v xml:space="preserve"> </v>
      </c>
      <c r="N35" s="12"/>
      <c r="O35" s="12"/>
      <c r="P35" s="12"/>
      <c r="Q35" s="12"/>
      <c r="R35" s="12"/>
      <c r="S35" s="12"/>
    </row>
    <row r="36" spans="2:19" hidden="1" x14ac:dyDescent="0.25">
      <c r="B36" s="9" t="s">
        <v>91</v>
      </c>
      <c r="C36" s="13"/>
      <c r="D36" s="17" t="str">
        <f>IFERROR(IF(AND(D3&gt;0,D9&lt;40),D35*1.08,(D35+((-0.0000000031*D9^4+0.0000013234*D9^3-0.0002087068*D9^2+0.0142221655*D9-0.3126825057)*D35))*1.08),"")</f>
        <v/>
      </c>
      <c r="E36" s="17" t="str">
        <f t="shared" ref="E36:K36" si="20">IFERROR(IF(AND(E3&gt;0,E9&lt;40),E35*1.08,(E35+((-0.0000000031*E9^4+0.0000013234*E9^3-0.0002087068*E9^2+0.0142221655*E9-0.3126825057)*E35))*1.08),"")</f>
        <v/>
      </c>
      <c r="F36" s="17" t="str">
        <f t="shared" si="20"/>
        <v/>
      </c>
      <c r="G36" s="17" t="str">
        <f t="shared" si="20"/>
        <v/>
      </c>
      <c r="H36" s="17" t="str">
        <f t="shared" si="20"/>
        <v/>
      </c>
      <c r="I36" s="17" t="str">
        <f t="shared" si="20"/>
        <v/>
      </c>
      <c r="J36" s="17" t="str">
        <f t="shared" si="20"/>
        <v/>
      </c>
      <c r="K36" s="17" t="str">
        <f t="shared" si="20"/>
        <v/>
      </c>
      <c r="L36" s="17"/>
      <c r="M36" s="17"/>
      <c r="N36" s="12"/>
      <c r="O36" s="12"/>
      <c r="P36" s="12"/>
      <c r="Q36" s="12"/>
      <c r="R36" s="12"/>
      <c r="S36" s="12"/>
    </row>
    <row r="37" spans="2:19" hidden="1" x14ac:dyDescent="0.25">
      <c r="B37" s="9" t="s">
        <v>90</v>
      </c>
      <c r="C37" s="13"/>
      <c r="D37" s="17" t="str">
        <f>IFERROR(D36*0.85,"")</f>
        <v/>
      </c>
      <c r="E37" s="17" t="str">
        <f t="shared" ref="E37:K37" si="21">IFERROR(E36*0.85,"")</f>
        <v/>
      </c>
      <c r="F37" s="17" t="str">
        <f t="shared" si="21"/>
        <v/>
      </c>
      <c r="G37" s="17" t="str">
        <f t="shared" si="21"/>
        <v/>
      </c>
      <c r="H37" s="17" t="str">
        <f t="shared" si="21"/>
        <v/>
      </c>
      <c r="I37" s="17" t="str">
        <f t="shared" si="21"/>
        <v/>
      </c>
      <c r="J37" s="17" t="str">
        <f t="shared" si="21"/>
        <v/>
      </c>
      <c r="K37" s="17" t="str">
        <f t="shared" si="21"/>
        <v/>
      </c>
      <c r="L37" s="17" t="str">
        <f t="shared" ref="L37:M37" si="22">IFERROR(L35*0.85,"")</f>
        <v/>
      </c>
      <c r="M37" s="17" t="str">
        <f t="shared" si="22"/>
        <v/>
      </c>
      <c r="N37" s="12"/>
      <c r="O37" s="12"/>
      <c r="P37" s="12"/>
      <c r="Q37" s="12"/>
      <c r="R37" s="12"/>
      <c r="S37" s="12"/>
    </row>
    <row r="38" spans="2:19" x14ac:dyDescent="0.25">
      <c r="B38" s="31" t="s">
        <v>44</v>
      </c>
      <c r="C38" s="13" t="s">
        <v>12</v>
      </c>
      <c r="D38" s="19" t="str">
        <f t="shared" ref="D38:K38" si="23">IF(D$5&gt;0,(D32*(D$5*2.204622)/10000)," ")</f>
        <v xml:space="preserve"> </v>
      </c>
      <c r="E38" s="19" t="str">
        <f t="shared" si="23"/>
        <v xml:space="preserve"> </v>
      </c>
      <c r="F38" s="19" t="str">
        <f t="shared" si="23"/>
        <v xml:space="preserve"> </v>
      </c>
      <c r="G38" s="19" t="str">
        <f t="shared" si="23"/>
        <v xml:space="preserve"> </v>
      </c>
      <c r="H38" s="19" t="str">
        <f t="shared" si="23"/>
        <v xml:space="preserve"> </v>
      </c>
      <c r="I38" s="19" t="str">
        <f t="shared" si="23"/>
        <v xml:space="preserve"> </v>
      </c>
      <c r="J38" s="19" t="str">
        <f t="shared" si="23"/>
        <v xml:space="preserve"> </v>
      </c>
      <c r="K38" s="19" t="str">
        <f t="shared" si="23"/>
        <v xml:space="preserve"> </v>
      </c>
    </row>
    <row r="39" spans="2:19" x14ac:dyDescent="0.25">
      <c r="B39" s="31" t="s">
        <v>46</v>
      </c>
      <c r="C39" s="13" t="s">
        <v>9</v>
      </c>
      <c r="D39" s="19" t="str">
        <f>IFERROR(D32*0.86,"")</f>
        <v/>
      </c>
      <c r="E39" s="19" t="str">
        <f t="shared" ref="E39:K39" si="24">IFERROR(E32*0.86,"")</f>
        <v/>
      </c>
      <c r="F39" s="19" t="str">
        <f t="shared" si="24"/>
        <v/>
      </c>
      <c r="G39" s="19" t="str">
        <f t="shared" si="24"/>
        <v/>
      </c>
      <c r="H39" s="19" t="str">
        <f t="shared" si="24"/>
        <v/>
      </c>
      <c r="I39" s="19" t="str">
        <f t="shared" si="24"/>
        <v/>
      </c>
      <c r="J39" s="19" t="str">
        <f t="shared" si="24"/>
        <v/>
      </c>
      <c r="K39" s="19" t="str">
        <f t="shared" si="24"/>
        <v/>
      </c>
    </row>
    <row r="40" spans="2:19" x14ac:dyDescent="0.25">
      <c r="B40" s="31" t="s">
        <v>47</v>
      </c>
      <c r="C40" s="13" t="s">
        <v>12</v>
      </c>
      <c r="D40" s="19" t="str">
        <f>IF(D$5&gt;0,(D39*(D$5*2.204622)/10000)," ")</f>
        <v xml:space="preserve"> </v>
      </c>
      <c r="E40" s="19" t="str">
        <f t="shared" ref="E40:K40" si="25">IF(E$5&gt;0,(E39*(E$5*2.204622)/10000)," ")</f>
        <v xml:space="preserve"> </v>
      </c>
      <c r="F40" s="19" t="str">
        <f t="shared" si="25"/>
        <v xml:space="preserve"> </v>
      </c>
      <c r="G40" s="19" t="str">
        <f t="shared" si="25"/>
        <v xml:space="preserve"> </v>
      </c>
      <c r="H40" s="19" t="str">
        <f t="shared" si="25"/>
        <v xml:space="preserve"> </v>
      </c>
      <c r="I40" s="19" t="str">
        <f t="shared" si="25"/>
        <v xml:space="preserve"> </v>
      </c>
      <c r="J40" s="19" t="str">
        <f t="shared" si="25"/>
        <v xml:space="preserve"> </v>
      </c>
      <c r="K40" s="19" t="str">
        <f t="shared" si="25"/>
        <v xml:space="preserve"> </v>
      </c>
    </row>
    <row r="41" spans="2:19" x14ac:dyDescent="0.25">
      <c r="B41" s="31" t="s">
        <v>85</v>
      </c>
      <c r="C41" s="13" t="s">
        <v>17</v>
      </c>
      <c r="D41" s="13" t="str">
        <f>IF(D3&gt;0,"1.25-1.50","")</f>
        <v/>
      </c>
      <c r="E41" s="13" t="str">
        <f t="shared" ref="E41:J41" si="26">IF(E3&gt;0,"1.25-1.50","")</f>
        <v/>
      </c>
      <c r="F41" s="13" t="str">
        <f t="shared" si="26"/>
        <v/>
      </c>
      <c r="G41" s="13" t="str">
        <f t="shared" si="26"/>
        <v/>
      </c>
      <c r="H41" s="13" t="str">
        <f t="shared" si="26"/>
        <v/>
      </c>
      <c r="I41" s="13" t="str">
        <f t="shared" si="26"/>
        <v/>
      </c>
      <c r="J41" s="13" t="str">
        <f t="shared" si="26"/>
        <v/>
      </c>
      <c r="K41" s="13" t="str">
        <f t="shared" ref="K41" si="27">IF(K3&gt;0,"1.25-1.50:1","")</f>
        <v/>
      </c>
    </row>
    <row r="42" spans="2:19" x14ac:dyDescent="0.25">
      <c r="B42" s="10" t="s">
        <v>51</v>
      </c>
      <c r="D42" s="13"/>
      <c r="E42" s="13"/>
      <c r="F42" s="13"/>
      <c r="G42" s="13"/>
      <c r="H42" s="13"/>
      <c r="I42" s="3"/>
      <c r="J42" s="3"/>
      <c r="K42" s="3"/>
    </row>
    <row r="43" spans="2:19" x14ac:dyDescent="0.25">
      <c r="B43" s="9" t="s">
        <v>19</v>
      </c>
      <c r="C43" s="2" t="s">
        <v>56</v>
      </c>
      <c r="D43" s="18" t="str">
        <f>IF(D$6="","",IF(AND(D$6&gt;0,D$7&lt;=130),125,125))</f>
        <v/>
      </c>
      <c r="E43" s="18" t="str">
        <f t="shared" ref="E43:J43" si="28">IF(E$6="","",IF(AND(E$6&gt;0,E$7&lt;=130),125,125))</f>
        <v/>
      </c>
      <c r="F43" s="18" t="str">
        <f t="shared" si="28"/>
        <v/>
      </c>
      <c r="G43" s="18" t="str">
        <f t="shared" si="28"/>
        <v/>
      </c>
      <c r="H43" s="18" t="str">
        <f t="shared" si="28"/>
        <v/>
      </c>
      <c r="I43" s="18" t="str">
        <f t="shared" si="28"/>
        <v/>
      </c>
      <c r="J43" s="18" t="str">
        <f t="shared" si="28"/>
        <v/>
      </c>
      <c r="K43" s="18" t="str">
        <f>IF(K$6="","",IF(AND(K$6&gt;0,K$7&lt;=130),120,125))</f>
        <v/>
      </c>
    </row>
    <row r="44" spans="2:19" x14ac:dyDescent="0.25">
      <c r="B44" s="9" t="s">
        <v>20</v>
      </c>
      <c r="C44" s="2" t="s">
        <v>56</v>
      </c>
      <c r="D44" s="18" t="str">
        <f>IF(D$6="","",IF(AND(D$6&gt;0,D$7&lt;=130),100,100))</f>
        <v/>
      </c>
      <c r="E44" s="18" t="str">
        <f t="shared" ref="E44:J44" si="29">IF(E$6="","",IF(AND(E$6&gt;0,E$7&lt;=130),100,100))</f>
        <v/>
      </c>
      <c r="F44" s="18" t="str">
        <f t="shared" si="29"/>
        <v/>
      </c>
      <c r="G44" s="18" t="str">
        <f t="shared" si="29"/>
        <v/>
      </c>
      <c r="H44" s="18" t="str">
        <f t="shared" si="29"/>
        <v/>
      </c>
      <c r="I44" s="18" t="str">
        <f t="shared" si="29"/>
        <v/>
      </c>
      <c r="J44" s="18" t="str">
        <f t="shared" si="29"/>
        <v/>
      </c>
      <c r="K44" s="18" t="str">
        <f t="shared" ref="K44" si="30">IF(K$6="","",IF(AND(K$6&gt;0,K$7&lt;=130),80,100))</f>
        <v/>
      </c>
    </row>
    <row r="45" spans="2:19" x14ac:dyDescent="0.25">
      <c r="B45" s="9" t="s">
        <v>21</v>
      </c>
      <c r="C45" s="2" t="s">
        <v>56</v>
      </c>
      <c r="D45" s="18" t="str">
        <f>IF(D$6="","",IF(AND(D$6&gt;0,D$7&lt;=130),50,50))</f>
        <v/>
      </c>
      <c r="E45" s="18" t="str">
        <f t="shared" ref="E45:J45" si="31">IF(E$6="","",IF(AND(E$6&gt;0,E$7&lt;=130),50,50))</f>
        <v/>
      </c>
      <c r="F45" s="18" t="str">
        <f t="shared" si="31"/>
        <v/>
      </c>
      <c r="G45" s="18" t="str">
        <f t="shared" si="31"/>
        <v/>
      </c>
      <c r="H45" s="18" t="str">
        <f t="shared" si="31"/>
        <v/>
      </c>
      <c r="I45" s="18" t="str">
        <f t="shared" si="31"/>
        <v/>
      </c>
      <c r="J45" s="18" t="str">
        <f t="shared" si="31"/>
        <v/>
      </c>
      <c r="K45" s="18" t="str">
        <f t="shared" ref="K45" si="32">IF(K$6="","",IF(AND(K$6&gt;0,K$7&lt;=130),30,50))</f>
        <v/>
      </c>
    </row>
    <row r="46" spans="2:19" x14ac:dyDescent="0.25">
      <c r="B46" s="9" t="s">
        <v>22</v>
      </c>
      <c r="C46" s="2" t="s">
        <v>56</v>
      </c>
      <c r="D46" s="18" t="str">
        <f>IF(D$6="","",IF(AND(D$6&gt;0,D$7&lt;=130),15,15))</f>
        <v/>
      </c>
      <c r="E46" s="18" t="str">
        <f t="shared" ref="E46:J46" si="33">IF(E$6="","",IF(AND(E$6&gt;0,E$7&lt;=130),15,15))</f>
        <v/>
      </c>
      <c r="F46" s="18" t="str">
        <f t="shared" si="33"/>
        <v/>
      </c>
      <c r="G46" s="18" t="str">
        <f t="shared" si="33"/>
        <v/>
      </c>
      <c r="H46" s="18" t="str">
        <f t="shared" si="33"/>
        <v/>
      </c>
      <c r="I46" s="18" t="str">
        <f t="shared" si="33"/>
        <v/>
      </c>
      <c r="J46" s="18" t="str">
        <f t="shared" si="33"/>
        <v/>
      </c>
      <c r="K46" s="18" t="str">
        <f t="shared" ref="K46" si="34">IF(K$6="","",IF(AND(K$6&gt;0,K$7&lt;=130),12,15))</f>
        <v/>
      </c>
    </row>
    <row r="47" spans="2:19" x14ac:dyDescent="0.25">
      <c r="B47" s="9" t="s">
        <v>23</v>
      </c>
      <c r="C47" s="2" t="s">
        <v>56</v>
      </c>
      <c r="D47" s="17" t="str">
        <f>IF(D$6="","",IF(AND(D$6&gt;0,D$7&lt;=130),0.35,0.35))</f>
        <v/>
      </c>
      <c r="E47" s="17" t="str">
        <f t="shared" ref="E47:J47" si="35">IF(E$6="","",IF(AND(E$6&gt;0,E$7&lt;=130),0.35,0.35))</f>
        <v/>
      </c>
      <c r="F47" s="17" t="str">
        <f t="shared" si="35"/>
        <v/>
      </c>
      <c r="G47" s="17" t="str">
        <f t="shared" si="35"/>
        <v/>
      </c>
      <c r="H47" s="17" t="str">
        <f t="shared" si="35"/>
        <v/>
      </c>
      <c r="I47" s="17" t="str">
        <f t="shared" si="35"/>
        <v/>
      </c>
      <c r="J47" s="17" t="str">
        <f t="shared" si="35"/>
        <v/>
      </c>
      <c r="K47" s="17" t="str">
        <f t="shared" ref="K47" si="36">IF(K$6="","",IF(AND(K$6&gt;0,K$7&lt;=130),0.4,0.35))</f>
        <v/>
      </c>
    </row>
    <row r="48" spans="2:19" x14ac:dyDescent="0.25">
      <c r="B48" s="9" t="s">
        <v>24</v>
      </c>
      <c r="C48" s="2" t="s">
        <v>56</v>
      </c>
      <c r="D48" s="17" t="str">
        <f>IF(D$6="","",IF(AND(D$6&gt;0,D$7&lt;=130),0.3,0.3))</f>
        <v/>
      </c>
      <c r="E48" s="17" t="str">
        <f t="shared" ref="E48:J48" si="37">IF(E$6="","",IF(AND(E$6&gt;0,E$7&lt;=130),0.3,0.3))</f>
        <v/>
      </c>
      <c r="F48" s="17" t="str">
        <f t="shared" si="37"/>
        <v/>
      </c>
      <c r="G48" s="17" t="str">
        <f t="shared" si="37"/>
        <v/>
      </c>
      <c r="H48" s="17" t="str">
        <f t="shared" si="37"/>
        <v/>
      </c>
      <c r="I48" s="17" t="str">
        <f t="shared" si="37"/>
        <v/>
      </c>
      <c r="J48" s="17" t="str">
        <f t="shared" si="37"/>
        <v/>
      </c>
      <c r="K48" s="17" t="str">
        <f t="shared" ref="K48" si="38">IF(K$6="","",IF(AND(K$6&gt;0,K$7&lt;=130),0.3,0.3))</f>
        <v/>
      </c>
    </row>
    <row r="49" spans="2:11" x14ac:dyDescent="0.25">
      <c r="B49" s="10" t="s">
        <v>52</v>
      </c>
      <c r="C49" s="2" t="s">
        <v>57</v>
      </c>
      <c r="D49" s="13"/>
      <c r="E49" s="13"/>
      <c r="F49" s="13"/>
      <c r="G49" s="13"/>
      <c r="H49" s="13"/>
      <c r="I49" s="3"/>
      <c r="J49" s="3"/>
      <c r="K49" s="3"/>
    </row>
    <row r="50" spans="2:11" x14ac:dyDescent="0.25">
      <c r="B50" s="26" t="s">
        <v>25</v>
      </c>
      <c r="C50" s="13" t="s">
        <v>58</v>
      </c>
      <c r="D50" s="18" t="str">
        <f>IF(D$3="","",IF(AND(D$3&gt;0,D$4&lt;=130),4500,4500))</f>
        <v/>
      </c>
      <c r="E50" s="18" t="str">
        <f t="shared" ref="E50:J50" si="39">IF(E$3="","",IF(AND(E$3&gt;0,E$4&lt;=130),4500,4500))</f>
        <v/>
      </c>
      <c r="F50" s="18" t="str">
        <f t="shared" si="39"/>
        <v/>
      </c>
      <c r="G50" s="18" t="str">
        <f t="shared" si="39"/>
        <v/>
      </c>
      <c r="H50" s="18" t="str">
        <f t="shared" si="39"/>
        <v/>
      </c>
      <c r="I50" s="18" t="str">
        <f t="shared" si="39"/>
        <v/>
      </c>
      <c r="J50" s="18" t="str">
        <f t="shared" si="39"/>
        <v/>
      </c>
      <c r="K50" s="18" t="str">
        <f t="shared" ref="K50" si="40">IF(K$3="","",IF(AND(K$3&gt;0,K$4&lt;=130),3000,4500))</f>
        <v/>
      </c>
    </row>
    <row r="51" spans="2:11" x14ac:dyDescent="0.25">
      <c r="B51" s="26" t="s">
        <v>26</v>
      </c>
      <c r="C51" s="13" t="s">
        <v>58</v>
      </c>
      <c r="D51" s="18" t="str">
        <f>IF(D$3="","",IF(AND(D$3&gt;0,D$4&lt;=130),900,900))</f>
        <v/>
      </c>
      <c r="E51" s="18" t="str">
        <f t="shared" ref="E51:J51" si="41">IF(E$3="","",IF(AND(E$3&gt;0,E$4&lt;=130),900,900))</f>
        <v/>
      </c>
      <c r="F51" s="18" t="str">
        <f t="shared" si="41"/>
        <v/>
      </c>
      <c r="G51" s="18" t="str">
        <f t="shared" si="41"/>
        <v/>
      </c>
      <c r="H51" s="18" t="str">
        <f t="shared" si="41"/>
        <v/>
      </c>
      <c r="I51" s="18" t="str">
        <f t="shared" si="41"/>
        <v/>
      </c>
      <c r="J51" s="18" t="str">
        <f t="shared" si="41"/>
        <v/>
      </c>
      <c r="K51" s="18" t="str">
        <f t="shared" ref="K51" si="42">IF(K$3="","",IF(AND(K$3&gt;0,K$4&lt;=130),550,900))</f>
        <v/>
      </c>
    </row>
    <row r="52" spans="2:11" x14ac:dyDescent="0.25">
      <c r="B52" s="26" t="s">
        <v>53</v>
      </c>
      <c r="C52" s="13" t="s">
        <v>58</v>
      </c>
      <c r="D52" s="20" t="str">
        <f>IF(D$3="","",IF(AND(D$3&gt;0,D$4&lt;=130),30,30))</f>
        <v/>
      </c>
      <c r="E52" s="20" t="str">
        <f t="shared" ref="E52:J52" si="43">IF(E$3="","",IF(AND(E$3&gt;0,E$4&lt;=130),30,30))</f>
        <v/>
      </c>
      <c r="F52" s="20" t="str">
        <f t="shared" si="43"/>
        <v/>
      </c>
      <c r="G52" s="20" t="str">
        <f t="shared" si="43"/>
        <v/>
      </c>
      <c r="H52" s="20" t="str">
        <f t="shared" si="43"/>
        <v/>
      </c>
      <c r="I52" s="20" t="str">
        <f t="shared" si="43"/>
        <v/>
      </c>
      <c r="J52" s="20" t="str">
        <f t="shared" si="43"/>
        <v/>
      </c>
      <c r="K52" s="18" t="str">
        <f t="shared" ref="K52" si="44">IF(K$3="","",IF(AND(K$3&gt;0,K$4&lt;=130),15,30))</f>
        <v/>
      </c>
    </row>
    <row r="53" spans="2:11" x14ac:dyDescent="0.25">
      <c r="B53" s="26" t="s">
        <v>27</v>
      </c>
      <c r="C53" s="13" t="s">
        <v>59</v>
      </c>
      <c r="D53" s="20" t="str">
        <f>IF(D$3="","",IF(AND(D$3&gt;0,D$4&lt;=130),2,2))</f>
        <v/>
      </c>
      <c r="E53" s="20" t="str">
        <f t="shared" ref="E53:J53" si="45">IF(E$3="","",IF(AND(E$3&gt;0,E$4&lt;=130),2,2))</f>
        <v/>
      </c>
      <c r="F53" s="20" t="str">
        <f t="shared" si="45"/>
        <v/>
      </c>
      <c r="G53" s="20" t="str">
        <f t="shared" si="45"/>
        <v/>
      </c>
      <c r="H53" s="20" t="str">
        <f t="shared" si="45"/>
        <v/>
      </c>
      <c r="I53" s="20" t="str">
        <f t="shared" si="45"/>
        <v/>
      </c>
      <c r="J53" s="20" t="str">
        <f t="shared" si="45"/>
        <v/>
      </c>
      <c r="K53" s="20" t="str">
        <f t="shared" ref="K53" si="46">IF(K$3="","",IF(AND(K$3&gt;0,K$4&lt;=130),1.5,2))</f>
        <v/>
      </c>
    </row>
    <row r="54" spans="2:11" x14ac:dyDescent="0.25">
      <c r="B54" s="26" t="s">
        <v>54</v>
      </c>
      <c r="C54" s="13" t="s">
        <v>59</v>
      </c>
      <c r="D54" s="18" t="str">
        <f>IF(D$3="","",IF(AND(D$3&gt;0,D$4&lt;=130),"300",300))</f>
        <v/>
      </c>
      <c r="E54" s="18" t="str">
        <f t="shared" ref="E54:J54" si="47">IF(E$3="","",IF(AND(E$3&gt;0,E$4&lt;=130),"300",300))</f>
        <v/>
      </c>
      <c r="F54" s="18" t="str">
        <f t="shared" si="47"/>
        <v/>
      </c>
      <c r="G54" s="18" t="str">
        <f t="shared" si="47"/>
        <v/>
      </c>
      <c r="H54" s="18" t="str">
        <f t="shared" si="47"/>
        <v/>
      </c>
      <c r="I54" s="18" t="str">
        <f t="shared" si="47"/>
        <v/>
      </c>
      <c r="J54" s="18" t="str">
        <f t="shared" si="47"/>
        <v/>
      </c>
      <c r="K54" s="18" t="str">
        <f t="shared" ref="K54" si="48">IF(K$3="","",IF(AND(K$3&gt;0,K$4&lt;=130),"",300))</f>
        <v/>
      </c>
    </row>
    <row r="55" spans="2:11" x14ac:dyDescent="0.25">
      <c r="B55" s="26" t="s">
        <v>28</v>
      </c>
      <c r="C55" s="13" t="s">
        <v>59</v>
      </c>
      <c r="D55" s="20" t="str">
        <f>IF(D$3="","",IF(AND(D$3&gt;0,D$4&lt;=130),20,20))</f>
        <v/>
      </c>
      <c r="E55" s="20" t="str">
        <f t="shared" ref="E55:J55" si="49">IF(E$3="","",IF(AND(E$3&gt;0,E$4&lt;=130),20,20))</f>
        <v/>
      </c>
      <c r="F55" s="20" t="str">
        <f t="shared" si="49"/>
        <v/>
      </c>
      <c r="G55" s="20" t="str">
        <f t="shared" si="49"/>
        <v/>
      </c>
      <c r="H55" s="20" t="str">
        <f t="shared" si="49"/>
        <v/>
      </c>
      <c r="I55" s="20" t="str">
        <f t="shared" si="49"/>
        <v/>
      </c>
      <c r="J55" s="20" t="str">
        <f t="shared" si="49"/>
        <v/>
      </c>
      <c r="K55" s="18" t="str">
        <f t="shared" ref="K55" si="50">IF(K$3="","",IF(AND(K$3&gt;0,K$4&lt;=130),20,20))</f>
        <v/>
      </c>
    </row>
    <row r="56" spans="2:11" x14ac:dyDescent="0.25">
      <c r="B56" s="26" t="s">
        <v>29</v>
      </c>
      <c r="C56" s="13" t="s">
        <v>59</v>
      </c>
      <c r="D56" s="18" t="str">
        <f>IF(D$3="","",IF(AND(D$3&gt;0,D$4&lt;=130),4.5,4.5))</f>
        <v/>
      </c>
      <c r="E56" s="18" t="str">
        <f t="shared" ref="E56:J56" si="51">IF(E$3="","",IF(AND(E$3&gt;0,E$4&lt;=130),4.5,4.5))</f>
        <v/>
      </c>
      <c r="F56" s="18" t="str">
        <f t="shared" si="51"/>
        <v/>
      </c>
      <c r="G56" s="18" t="str">
        <f t="shared" si="51"/>
        <v/>
      </c>
      <c r="H56" s="18" t="str">
        <f t="shared" si="51"/>
        <v/>
      </c>
      <c r="I56" s="18" t="str">
        <f t="shared" si="51"/>
        <v/>
      </c>
      <c r="J56" s="18" t="str">
        <f t="shared" si="51"/>
        <v/>
      </c>
      <c r="K56" s="18" t="str">
        <f t="shared" ref="K56" si="52">IF(K$3="","",IF(AND(K$3&gt;0,K$4&lt;=130),2.6,4.5))</f>
        <v/>
      </c>
    </row>
    <row r="57" spans="2:11" x14ac:dyDescent="0.25">
      <c r="B57" s="26" t="s">
        <v>30</v>
      </c>
      <c r="C57" s="13" t="s">
        <v>59</v>
      </c>
      <c r="D57" s="20" t="str">
        <f>IF(D$3="","",IF(AND(D$3&gt;0,D$4&lt;=130),15,15))</f>
        <v/>
      </c>
      <c r="E57" s="20" t="str">
        <f t="shared" ref="E57:J57" si="53">IF(E$3="","",IF(AND(E$3&gt;0,E$4&lt;=130),15,15))</f>
        <v/>
      </c>
      <c r="F57" s="20" t="str">
        <f t="shared" si="53"/>
        <v/>
      </c>
      <c r="G57" s="20" t="str">
        <f t="shared" si="53"/>
        <v/>
      </c>
      <c r="H57" s="20" t="str">
        <f t="shared" si="53"/>
        <v/>
      </c>
      <c r="I57" s="20" t="str">
        <f t="shared" si="53"/>
        <v/>
      </c>
      <c r="J57" s="20" t="str">
        <f t="shared" si="53"/>
        <v/>
      </c>
      <c r="K57" s="18" t="str">
        <f t="shared" ref="K57" si="54">IF(K$3="","",IF(AND(K$3&gt;0,K$4&lt;=130),9,15))</f>
        <v/>
      </c>
    </row>
    <row r="58" spans="2:11" x14ac:dyDescent="0.25">
      <c r="B58" s="26" t="s">
        <v>31</v>
      </c>
      <c r="C58" s="13" t="s">
        <v>60</v>
      </c>
      <c r="D58" s="20" t="str">
        <f>IF(D$3="","",IF(AND(D$3&gt;0,D$4&lt;=130),17,17))</f>
        <v/>
      </c>
      <c r="E58" s="20" t="str">
        <f t="shared" ref="E58:J58" si="55">IF(E$3="","",IF(AND(E$3&gt;0,E$4&lt;=130),17,17))</f>
        <v/>
      </c>
      <c r="F58" s="20" t="str">
        <f t="shared" si="55"/>
        <v/>
      </c>
      <c r="G58" s="20" t="str">
        <f t="shared" si="55"/>
        <v/>
      </c>
      <c r="H58" s="20" t="str">
        <f t="shared" si="55"/>
        <v/>
      </c>
      <c r="I58" s="20" t="str">
        <f t="shared" si="55"/>
        <v/>
      </c>
      <c r="J58" s="20" t="str">
        <f t="shared" si="55"/>
        <v/>
      </c>
      <c r="K58" s="18" t="str">
        <f t="shared" ref="K58" si="56">IF(K$3="","",IF(AND(K$3&gt;0,K$4&lt;=130),12,17))</f>
        <v/>
      </c>
    </row>
    <row r="59" spans="2:11" x14ac:dyDescent="0.25">
      <c r="B59" s="26" t="s">
        <v>32</v>
      </c>
      <c r="C59" s="13" t="s">
        <v>60</v>
      </c>
      <c r="D59" s="18" t="str">
        <f>IF(D$3="","",IF(AND(D$3&gt;0,D$4&lt;=130),600,600))</f>
        <v/>
      </c>
      <c r="E59" s="18" t="str">
        <f t="shared" ref="E59:J59" si="57">IF(E$3="","",IF(AND(E$3&gt;0,E$4&lt;=130),600,600))</f>
        <v/>
      </c>
      <c r="F59" s="18" t="str">
        <f t="shared" si="57"/>
        <v/>
      </c>
      <c r="G59" s="18" t="str">
        <f t="shared" si="57"/>
        <v/>
      </c>
      <c r="H59" s="18" t="str">
        <f t="shared" si="57"/>
        <v/>
      </c>
      <c r="I59" s="18" t="str">
        <f t="shared" si="57"/>
        <v/>
      </c>
      <c r="J59" s="18" t="str">
        <f t="shared" si="57"/>
        <v/>
      </c>
      <c r="K59" s="18" t="str">
        <f t="shared" ref="K59" si="58">IF(K$3="","",IF(AND(K$3&gt;0,K$4&lt;=130),"",600))</f>
        <v/>
      </c>
    </row>
    <row r="60" spans="2:11" x14ac:dyDescent="0.25">
      <c r="B60" s="26" t="s">
        <v>33</v>
      </c>
      <c r="C60" s="13" t="s">
        <v>60</v>
      </c>
      <c r="D60" s="18" t="str">
        <f>IF(D$3="","",IF(AND(D$3&gt;0,D$4&lt;=130),100,100))</f>
        <v/>
      </c>
      <c r="E60" s="18" t="str">
        <f t="shared" ref="E60:J60" si="59">IF(E$3="","",IF(AND(E$3&gt;0,E$4&lt;=130),100,100))</f>
        <v/>
      </c>
      <c r="F60" s="18" t="str">
        <f t="shared" si="59"/>
        <v/>
      </c>
      <c r="G60" s="18" t="str">
        <f t="shared" si="59"/>
        <v/>
      </c>
      <c r="H60" s="18" t="str">
        <f t="shared" si="59"/>
        <v/>
      </c>
      <c r="I60" s="18" t="str">
        <f t="shared" si="59"/>
        <v/>
      </c>
      <c r="J60" s="18" t="str">
        <f t="shared" si="59"/>
        <v/>
      </c>
      <c r="K60" s="18" t="str">
        <f t="shared" ref="K60" si="60">IF(K$3="","",IF(AND(K$3&gt;0,K$4&lt;=130),"",100))</f>
        <v/>
      </c>
    </row>
    <row r="61" spans="2:11" x14ac:dyDescent="0.25">
      <c r="B61" s="26" t="s">
        <v>34</v>
      </c>
      <c r="C61" s="13" t="s">
        <v>59</v>
      </c>
      <c r="D61" s="20" t="str">
        <f>IF(D$3="","",IF(AND(D$3&gt;0,D$4&lt;=130),1,1))</f>
        <v/>
      </c>
      <c r="E61" s="20" t="str">
        <f t="shared" ref="E61:J61" si="61">IF(E$3="","",IF(AND(E$3&gt;0,E$4&lt;=130),1,1))</f>
        <v/>
      </c>
      <c r="F61" s="20" t="str">
        <f t="shared" si="61"/>
        <v/>
      </c>
      <c r="G61" s="20" t="str">
        <f t="shared" si="61"/>
        <v/>
      </c>
      <c r="H61" s="20" t="str">
        <f t="shared" si="61"/>
        <v/>
      </c>
      <c r="I61" s="20" t="str">
        <f t="shared" si="61"/>
        <v/>
      </c>
      <c r="J61" s="20" t="str">
        <f t="shared" si="61"/>
        <v/>
      </c>
      <c r="K61" s="18" t="str">
        <f t="shared" ref="K61" si="62">IF(K$3="","",IF(AND(K$3&gt;0,K$4&lt;=130),"",1))</f>
        <v/>
      </c>
    </row>
    <row r="62" spans="2:11" ht="15.75" thickBot="1" x14ac:dyDescent="0.3">
      <c r="B62" s="33" t="s">
        <v>35</v>
      </c>
      <c r="C62" s="27" t="s">
        <v>59</v>
      </c>
      <c r="D62" s="30" t="str">
        <f>IF(D$3="","",IF(AND(D$3&gt;0,D$4&lt;=130),1.5,1.5))</f>
        <v/>
      </c>
      <c r="E62" s="30" t="str">
        <f t="shared" ref="E62:J62" si="63">IF(E$3="","",IF(AND(E$3&gt;0,E$4&lt;=130),1.5,1.5))</f>
        <v/>
      </c>
      <c r="F62" s="30" t="str">
        <f t="shared" si="63"/>
        <v/>
      </c>
      <c r="G62" s="30" t="str">
        <f t="shared" si="63"/>
        <v/>
      </c>
      <c r="H62" s="30" t="str">
        <f t="shared" si="63"/>
        <v/>
      </c>
      <c r="I62" s="30" t="str">
        <f t="shared" si="63"/>
        <v/>
      </c>
      <c r="J62" s="30" t="str">
        <f t="shared" si="63"/>
        <v/>
      </c>
      <c r="K62" s="30" t="str">
        <f t="shared" ref="K62" si="64">IF(K$3="","",IF(AND(K$3&gt;0,K$4&lt;=130),"",1.5))</f>
        <v/>
      </c>
    </row>
    <row r="64" spans="2:11" x14ac:dyDescent="0.25">
      <c r="B64" s="55" t="str">
        <f>(IF(D16&lt;D18,"!",IF(E16&lt;E18,"!",IF(F16&lt;F18,"!",IF(G16&lt;G18,"!",IF(H16&lt;H18,"!",IF(I16&lt;I18,"!",IF(J16&lt;J18,"!"," "))))))))</f>
        <v xml:space="preserve"> </v>
      </c>
      <c r="C64" s="56" t="str">
        <f>IF(B64="!","Because the weight range is so wide, PIC biological requirement is set as 85% of the requirement at the beginning of the phase"," ")</f>
        <v xml:space="preserve"> </v>
      </c>
      <c r="D64" s="56"/>
      <c r="E64" s="56"/>
      <c r="F64" s="56"/>
      <c r="G64" s="56"/>
      <c r="H64" s="56"/>
      <c r="I64" s="56"/>
      <c r="J64" s="56"/>
    </row>
    <row r="65" spans="2:10" x14ac:dyDescent="0.25">
      <c r="B65" s="55"/>
      <c r="C65" s="56"/>
      <c r="D65" s="56"/>
      <c r="E65" s="56"/>
      <c r="F65" s="56"/>
      <c r="G65" s="56"/>
      <c r="H65" s="56"/>
      <c r="I65" s="56"/>
      <c r="J65" s="56"/>
    </row>
    <row r="66" spans="2:10" ht="15" customHeight="1" x14ac:dyDescent="0.25">
      <c r="B66" s="57" t="str">
        <f>(IF(D13&lt;1.9,"**",IF(E13&lt;1.9,"**",IF(F13&lt;1.9,"**",IF(G13&lt;1.9,"**",IF(H13&lt;1.9,"**",IF(I13&lt;1.9,"**",IF(J13&lt;1.9,"**"," "))))))))</f>
        <v xml:space="preserve"> </v>
      </c>
      <c r="C66" s="58" t="str">
        <f>IF(B66="**","if desired weight at breeding is not met, PIC recommends using 97% of SID Lysine requirement for commercial gilts above 200 lbs"," ")</f>
        <v xml:space="preserve"> </v>
      </c>
      <c r="D66" s="58"/>
      <c r="E66" s="58"/>
      <c r="F66" s="58"/>
      <c r="G66" s="58"/>
      <c r="H66" s="58"/>
      <c r="I66" s="58"/>
      <c r="J66" s="58"/>
    </row>
    <row r="67" spans="2:10" x14ac:dyDescent="0.25">
      <c r="B67" s="57"/>
      <c r="C67" s="58"/>
      <c r="D67" s="58"/>
      <c r="E67" s="58"/>
      <c r="F67" s="58"/>
      <c r="G67" s="58"/>
      <c r="H67" s="58"/>
      <c r="I67" s="58"/>
      <c r="J67" s="58"/>
    </row>
  </sheetData>
  <sheetProtection algorithmName="SHA-512" hashValue="FQOXZEXBoX8sM3lIY7schqwLjZmlCOflQ+fi7a6gHBkhVUH7YlYKQCrazZac7Y9G4ZjXeVDZphWWDUOt89FYLw==" saltValue="ejIwjXalmmYGQ33Od0Blgg==" spinCount="100000" sheet="1" objects="1" scenarios="1"/>
  <mergeCells count="4">
    <mergeCell ref="B64:B65"/>
    <mergeCell ref="C64:J65"/>
    <mergeCell ref="B66:B67"/>
    <mergeCell ref="C66:J67"/>
  </mergeCells>
  <dataValidations count="4">
    <dataValidation type="decimal" errorStyle="warning" allowBlank="1" showInputMessage="1" showErrorMessage="1" error="This calculator is based on data between 25 and 330 lb. It is not recommended to use for body weight outside of this range." sqref="K3:K4" xr:uid="{91FC4DD5-F3F2-4030-97FF-6EE4131B3765}">
      <formula1>25</formula1>
      <formula2>330</formula2>
    </dataValidation>
    <dataValidation type="whole" errorStyle="warning" operator="greaterThan" allowBlank="1" showInputMessage="1" showErrorMessage="1" error="The minimum energy level is 1420 kcal/lb if BW is less than 220 lb and 1360 kcal/lb uf BW is greater than 220 lb." sqref="K5" xr:uid="{1A1EE648-F967-416B-ABE5-2963706A1DBC}">
      <formula1>IF(K3&gt;=220,1359,1419)</formula1>
    </dataValidation>
    <dataValidation type="whole" errorStyle="warning" operator="greaterThan" allowBlank="1" showInputMessage="1" showErrorMessage="1" error="The minimum energy level is 1420 kcal/lb if BW is less than 200 lb and 1360 kcal/lb if BW is greater than 200 lb." sqref="D5:J5" xr:uid="{ADBA5040-668F-4C47-A5C3-A0C8BA6B9579}">
      <formula1>IF(D3&gt;=200,1359,1419)</formula1>
    </dataValidation>
    <dataValidation type="decimal" allowBlank="1" showInputMessage="1" showErrorMessage="1" error="This calculator is based on data between 50 and 330 lb. It is not recommended to use for body weight outside of this range." sqref="D3:J4" xr:uid="{95923566-8724-458A-BDCA-34C92E9EC0A8}">
      <formula1>50</formula1>
      <formula2>330</formula2>
    </dataValidation>
  </dataValidations>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D6E7-86AA-4C36-8162-404C3AC90A9E}">
  <dimension ref="A1:U324"/>
  <sheetViews>
    <sheetView topLeftCell="A226" zoomScale="190" workbookViewId="0">
      <selection activeCell="L214" sqref="L214"/>
    </sheetView>
  </sheetViews>
  <sheetFormatPr defaultColWidth="8.7109375" defaultRowHeight="15" x14ac:dyDescent="0.25"/>
  <cols>
    <col min="2" max="2" width="27.7109375" bestFit="1" customWidth="1"/>
    <col min="15" max="15" width="30.140625" bestFit="1" customWidth="1"/>
    <col min="16" max="16" width="11.28515625" bestFit="1" customWidth="1"/>
  </cols>
  <sheetData>
    <row r="1" spans="1:21" x14ac:dyDescent="0.25">
      <c r="A1" s="36" t="s">
        <v>68</v>
      </c>
      <c r="B1" s="8" t="s">
        <v>69</v>
      </c>
      <c r="C1" s="8" t="s">
        <v>70</v>
      </c>
      <c r="D1" s="8" t="s">
        <v>71</v>
      </c>
      <c r="E1" s="8" t="s">
        <v>72</v>
      </c>
      <c r="F1" s="8" t="s">
        <v>73</v>
      </c>
      <c r="G1" s="8" t="s">
        <v>74</v>
      </c>
      <c r="H1" s="8" t="s">
        <v>75</v>
      </c>
      <c r="I1" s="8" t="s">
        <v>76</v>
      </c>
      <c r="J1" s="8" t="s">
        <v>77</v>
      </c>
    </row>
    <row r="2" spans="1:21" x14ac:dyDescent="0.25">
      <c r="A2" s="41">
        <v>24</v>
      </c>
      <c r="B2" s="36">
        <v>58</v>
      </c>
      <c r="C2" s="36">
        <v>65</v>
      </c>
      <c r="D2" s="36">
        <v>19</v>
      </c>
      <c r="E2" s="36">
        <v>68</v>
      </c>
      <c r="F2" s="36">
        <v>55</v>
      </c>
      <c r="G2" s="36">
        <v>100</v>
      </c>
      <c r="H2" s="36">
        <v>32</v>
      </c>
      <c r="I2" s="36">
        <v>92</v>
      </c>
      <c r="J2" s="36">
        <v>0.55000000000000004</v>
      </c>
    </row>
    <row r="3" spans="1:21" x14ac:dyDescent="0.25">
      <c r="A3" s="41">
        <v>25</v>
      </c>
      <c r="B3" s="36">
        <v>58</v>
      </c>
      <c r="C3" s="36">
        <v>65</v>
      </c>
      <c r="D3" s="36">
        <v>19</v>
      </c>
      <c r="E3" s="36">
        <v>68</v>
      </c>
      <c r="F3" s="36">
        <v>55</v>
      </c>
      <c r="G3" s="36">
        <v>100</v>
      </c>
      <c r="H3" s="36">
        <v>32</v>
      </c>
      <c r="I3" s="36">
        <v>92</v>
      </c>
      <c r="J3" s="36">
        <v>0.55000000000000004</v>
      </c>
    </row>
    <row r="4" spans="1:21" x14ac:dyDescent="0.25">
      <c r="A4" s="41">
        <v>26</v>
      </c>
      <c r="B4" s="36">
        <v>58</v>
      </c>
      <c r="C4" s="36">
        <v>65</v>
      </c>
      <c r="D4" s="36">
        <v>19</v>
      </c>
      <c r="E4" s="36">
        <v>68</v>
      </c>
      <c r="F4" s="36">
        <v>55</v>
      </c>
      <c r="G4" s="36">
        <v>100</v>
      </c>
      <c r="H4" s="36">
        <v>32</v>
      </c>
      <c r="I4" s="36">
        <v>92</v>
      </c>
      <c r="J4" s="36">
        <v>0.55000000000000004</v>
      </c>
    </row>
    <row r="5" spans="1:21" x14ac:dyDescent="0.25">
      <c r="A5" s="41">
        <v>27</v>
      </c>
      <c r="B5" s="36">
        <v>58</v>
      </c>
      <c r="C5" s="36">
        <v>65</v>
      </c>
      <c r="D5" s="36">
        <v>19</v>
      </c>
      <c r="E5" s="36">
        <v>68</v>
      </c>
      <c r="F5" s="36">
        <v>55</v>
      </c>
      <c r="G5" s="36">
        <v>100</v>
      </c>
      <c r="H5" s="36">
        <v>32</v>
      </c>
      <c r="I5" s="36">
        <v>92</v>
      </c>
      <c r="J5" s="36">
        <v>0.55000000000000004</v>
      </c>
    </row>
    <row r="6" spans="1:21" x14ac:dyDescent="0.25">
      <c r="A6" s="41">
        <v>28</v>
      </c>
      <c r="B6" s="36">
        <v>58</v>
      </c>
      <c r="C6" s="36">
        <v>65</v>
      </c>
      <c r="D6" s="36">
        <v>19</v>
      </c>
      <c r="E6" s="36">
        <v>68</v>
      </c>
      <c r="F6" s="36">
        <v>55</v>
      </c>
      <c r="G6" s="36">
        <v>100</v>
      </c>
      <c r="H6" s="36">
        <v>32</v>
      </c>
      <c r="I6" s="36">
        <v>92</v>
      </c>
      <c r="J6" s="36">
        <v>0.55000000000000004</v>
      </c>
    </row>
    <row r="7" spans="1:21" x14ac:dyDescent="0.25">
      <c r="A7" s="41">
        <v>29</v>
      </c>
      <c r="B7" s="36">
        <v>58</v>
      </c>
      <c r="C7" s="36">
        <v>65</v>
      </c>
      <c r="D7" s="36">
        <v>19</v>
      </c>
      <c r="E7" s="36">
        <v>68</v>
      </c>
      <c r="F7" s="36">
        <v>55</v>
      </c>
      <c r="G7" s="36">
        <v>100</v>
      </c>
      <c r="H7" s="36">
        <v>32</v>
      </c>
      <c r="I7" s="36">
        <v>92</v>
      </c>
      <c r="J7" s="36">
        <v>0.55000000000000004</v>
      </c>
      <c r="M7">
        <v>50</v>
      </c>
      <c r="N7" s="37">
        <f>M7/2.204622</f>
        <v>22.6796248971479</v>
      </c>
      <c r="P7" s="38" t="s">
        <v>83</v>
      </c>
      <c r="Q7" t="s">
        <v>78</v>
      </c>
      <c r="R7" t="s">
        <v>79</v>
      </c>
      <c r="S7" t="s">
        <v>80</v>
      </c>
      <c r="T7" t="s">
        <v>81</v>
      </c>
      <c r="U7" t="s">
        <v>82</v>
      </c>
    </row>
    <row r="8" spans="1:21" x14ac:dyDescent="0.25">
      <c r="A8" s="41">
        <v>30</v>
      </c>
      <c r="B8" s="36">
        <v>58</v>
      </c>
      <c r="C8" s="36">
        <v>65</v>
      </c>
      <c r="D8" s="36">
        <v>19</v>
      </c>
      <c r="E8" s="36">
        <v>68</v>
      </c>
      <c r="F8" s="36">
        <v>55</v>
      </c>
      <c r="G8" s="36">
        <v>100</v>
      </c>
      <c r="H8" s="36">
        <v>32</v>
      </c>
      <c r="I8" s="36">
        <v>92</v>
      </c>
      <c r="J8" s="36">
        <v>0.55000000000000004</v>
      </c>
      <c r="M8">
        <v>90</v>
      </c>
      <c r="N8" s="37">
        <f t="shared" ref="N8:N12" si="0">M8/2.204622</f>
        <v>40.823324814866218</v>
      </c>
      <c r="O8" s="11" t="s">
        <v>36</v>
      </c>
      <c r="P8" s="39">
        <v>58</v>
      </c>
      <c r="Q8" s="39">
        <v>56</v>
      </c>
      <c r="R8">
        <v>57</v>
      </c>
      <c r="S8">
        <v>57</v>
      </c>
      <c r="T8">
        <v>58</v>
      </c>
      <c r="U8">
        <v>58</v>
      </c>
    </row>
    <row r="9" spans="1:21" x14ac:dyDescent="0.25">
      <c r="A9" s="41">
        <v>31</v>
      </c>
      <c r="B9" s="36">
        <v>58</v>
      </c>
      <c r="C9" s="36">
        <v>65</v>
      </c>
      <c r="D9" s="36">
        <v>19</v>
      </c>
      <c r="E9" s="36">
        <v>68</v>
      </c>
      <c r="F9" s="36">
        <v>55</v>
      </c>
      <c r="G9" s="36">
        <v>100</v>
      </c>
      <c r="H9" s="36">
        <v>32</v>
      </c>
      <c r="I9" s="36">
        <v>92</v>
      </c>
      <c r="J9" s="36">
        <v>0.55000000000000004</v>
      </c>
      <c r="M9">
        <v>130</v>
      </c>
      <c r="N9" s="37">
        <f t="shared" si="0"/>
        <v>58.967024732584541</v>
      </c>
      <c r="O9" s="11" t="s">
        <v>37</v>
      </c>
      <c r="P9" s="39">
        <v>63</v>
      </c>
      <c r="Q9" s="39">
        <v>61</v>
      </c>
      <c r="R9">
        <v>62</v>
      </c>
      <c r="S9">
        <v>63</v>
      </c>
      <c r="T9">
        <v>64</v>
      </c>
      <c r="U9">
        <v>66</v>
      </c>
    </row>
    <row r="10" spans="1:21" x14ac:dyDescent="0.25">
      <c r="A10" s="41">
        <v>32</v>
      </c>
      <c r="B10" s="36">
        <v>58</v>
      </c>
      <c r="C10" s="36">
        <v>65</v>
      </c>
      <c r="D10" s="36">
        <v>19</v>
      </c>
      <c r="E10" s="36">
        <v>68</v>
      </c>
      <c r="F10" s="36">
        <v>55</v>
      </c>
      <c r="G10" s="36">
        <v>100</v>
      </c>
      <c r="H10" s="36">
        <v>32</v>
      </c>
      <c r="I10" s="36">
        <v>92</v>
      </c>
      <c r="J10" s="36">
        <v>0.55000000000000004</v>
      </c>
      <c r="M10">
        <v>180</v>
      </c>
      <c r="N10" s="37">
        <f t="shared" si="0"/>
        <v>81.646649629732437</v>
      </c>
      <c r="O10" s="11" t="s">
        <v>38</v>
      </c>
      <c r="P10">
        <v>19</v>
      </c>
      <c r="Q10">
        <v>18</v>
      </c>
      <c r="R10">
        <v>18</v>
      </c>
      <c r="S10">
        <v>18</v>
      </c>
      <c r="T10">
        <v>18</v>
      </c>
      <c r="U10">
        <v>18</v>
      </c>
    </row>
    <row r="11" spans="1:21" x14ac:dyDescent="0.25">
      <c r="A11" s="41">
        <v>33</v>
      </c>
      <c r="B11" s="36">
        <v>58</v>
      </c>
      <c r="C11" s="36">
        <v>65</v>
      </c>
      <c r="D11" s="36">
        <v>19</v>
      </c>
      <c r="E11" s="36">
        <v>68</v>
      </c>
      <c r="F11" s="36">
        <v>55</v>
      </c>
      <c r="G11" s="36">
        <v>100</v>
      </c>
      <c r="H11" s="36">
        <v>32</v>
      </c>
      <c r="I11" s="36">
        <v>92</v>
      </c>
      <c r="J11" s="36">
        <v>0.55000000000000004</v>
      </c>
      <c r="M11">
        <v>230</v>
      </c>
      <c r="N11" s="37">
        <f t="shared" si="0"/>
        <v>104.32627452688034</v>
      </c>
      <c r="O11" s="11" t="s">
        <v>39</v>
      </c>
      <c r="P11" s="40">
        <v>67</v>
      </c>
      <c r="Q11" s="40">
        <v>67</v>
      </c>
      <c r="R11" s="40">
        <v>67</v>
      </c>
      <c r="S11" s="40">
        <v>67</v>
      </c>
      <c r="T11" s="40">
        <v>67</v>
      </c>
      <c r="U11" s="40">
        <v>67</v>
      </c>
    </row>
    <row r="12" spans="1:21" x14ac:dyDescent="0.25">
      <c r="A12" s="41">
        <v>34</v>
      </c>
      <c r="B12" s="36">
        <v>58</v>
      </c>
      <c r="C12" s="36">
        <v>65</v>
      </c>
      <c r="D12" s="36">
        <v>19</v>
      </c>
      <c r="E12" s="36">
        <v>68</v>
      </c>
      <c r="F12" s="36">
        <v>55</v>
      </c>
      <c r="G12" s="36">
        <v>100</v>
      </c>
      <c r="H12" s="36">
        <v>32</v>
      </c>
      <c r="I12" s="36">
        <v>92</v>
      </c>
      <c r="J12" s="36">
        <v>0.55000000000000004</v>
      </c>
      <c r="M12">
        <v>300</v>
      </c>
      <c r="N12" s="37">
        <f t="shared" si="0"/>
        <v>136.07774938288739</v>
      </c>
      <c r="O12" s="31" t="s">
        <v>40</v>
      </c>
      <c r="P12">
        <v>55</v>
      </c>
      <c r="Q12">
        <v>56</v>
      </c>
      <c r="R12">
        <v>56</v>
      </c>
      <c r="S12">
        <v>56</v>
      </c>
      <c r="T12">
        <v>56</v>
      </c>
      <c r="U12">
        <v>56</v>
      </c>
    </row>
    <row r="13" spans="1:21" x14ac:dyDescent="0.25">
      <c r="A13" s="41">
        <v>35</v>
      </c>
      <c r="B13" s="36">
        <v>58</v>
      </c>
      <c r="C13" s="36">
        <v>65</v>
      </c>
      <c r="D13" s="36">
        <v>19</v>
      </c>
      <c r="E13" s="36">
        <v>68</v>
      </c>
      <c r="F13" s="36">
        <v>55</v>
      </c>
      <c r="G13" s="36">
        <v>100</v>
      </c>
      <c r="H13" s="36">
        <v>32</v>
      </c>
      <c r="I13" s="36">
        <v>92</v>
      </c>
      <c r="J13" s="36">
        <v>0.55000000000000004</v>
      </c>
      <c r="O13" s="31" t="s">
        <v>41</v>
      </c>
      <c r="P13">
        <v>100</v>
      </c>
      <c r="Q13">
        <v>101</v>
      </c>
      <c r="R13">
        <v>101</v>
      </c>
      <c r="S13">
        <v>101</v>
      </c>
      <c r="T13">
        <v>101</v>
      </c>
      <c r="U13">
        <v>102</v>
      </c>
    </row>
    <row r="14" spans="1:21" x14ac:dyDescent="0.25">
      <c r="A14" s="41">
        <v>36</v>
      </c>
      <c r="B14" s="36">
        <v>58</v>
      </c>
      <c r="C14" s="36">
        <v>65</v>
      </c>
      <c r="D14" s="36">
        <v>19</v>
      </c>
      <c r="E14" s="36">
        <v>68</v>
      </c>
      <c r="F14" s="36">
        <v>55</v>
      </c>
      <c r="G14" s="36">
        <v>100</v>
      </c>
      <c r="H14" s="36">
        <v>32</v>
      </c>
      <c r="I14" s="36">
        <v>92</v>
      </c>
      <c r="J14" s="36">
        <v>0.55000000000000004</v>
      </c>
      <c r="O14" s="31" t="s">
        <v>42</v>
      </c>
      <c r="P14">
        <v>32</v>
      </c>
      <c r="Q14">
        <v>34</v>
      </c>
      <c r="R14">
        <v>34</v>
      </c>
      <c r="S14">
        <v>34</v>
      </c>
      <c r="T14">
        <v>34</v>
      </c>
      <c r="U14">
        <v>34</v>
      </c>
    </row>
    <row r="15" spans="1:21" x14ac:dyDescent="0.25">
      <c r="A15" s="41">
        <v>37</v>
      </c>
      <c r="B15" s="36">
        <v>58</v>
      </c>
      <c r="C15" s="36">
        <v>65</v>
      </c>
      <c r="D15" s="36">
        <v>19</v>
      </c>
      <c r="E15" s="36">
        <v>68</v>
      </c>
      <c r="F15" s="36">
        <v>55</v>
      </c>
      <c r="G15" s="36">
        <v>100</v>
      </c>
      <c r="H15" s="36">
        <v>32</v>
      </c>
      <c r="I15" s="36">
        <v>92</v>
      </c>
      <c r="J15" s="36">
        <v>0.55000000000000004</v>
      </c>
      <c r="O15" s="31" t="s">
        <v>43</v>
      </c>
      <c r="P15">
        <v>92</v>
      </c>
      <c r="Q15">
        <v>94</v>
      </c>
      <c r="R15">
        <v>94</v>
      </c>
      <c r="S15">
        <v>94</v>
      </c>
      <c r="T15">
        <v>95</v>
      </c>
      <c r="U15">
        <v>96</v>
      </c>
    </row>
    <row r="16" spans="1:21" ht="15.75" thickBot="1" x14ac:dyDescent="0.3">
      <c r="A16" s="41">
        <v>38</v>
      </c>
      <c r="B16" s="36">
        <v>58</v>
      </c>
      <c r="C16" s="36">
        <v>65</v>
      </c>
      <c r="D16" s="36">
        <v>19</v>
      </c>
      <c r="E16" s="36">
        <v>68</v>
      </c>
      <c r="F16" s="36">
        <v>55</v>
      </c>
      <c r="G16" s="36">
        <v>100</v>
      </c>
      <c r="H16" s="36">
        <v>32</v>
      </c>
      <c r="I16" s="36">
        <v>92</v>
      </c>
      <c r="J16" s="36">
        <v>0.55000000000000004</v>
      </c>
      <c r="O16" s="32" t="s">
        <v>50</v>
      </c>
      <c r="P16">
        <v>0.55000000000000004</v>
      </c>
      <c r="Q16">
        <v>0.45</v>
      </c>
      <c r="R16">
        <v>0.4</v>
      </c>
      <c r="S16">
        <v>0.35</v>
      </c>
      <c r="T16">
        <v>0.28000000000000003</v>
      </c>
      <c r="U16">
        <v>0.25</v>
      </c>
    </row>
    <row r="17" spans="1:10" x14ac:dyDescent="0.25">
      <c r="A17" s="41">
        <v>39</v>
      </c>
      <c r="B17" s="36">
        <v>58</v>
      </c>
      <c r="C17" s="36">
        <v>65</v>
      </c>
      <c r="D17" s="36">
        <v>19</v>
      </c>
      <c r="E17" s="36">
        <v>68</v>
      </c>
      <c r="F17" s="36">
        <v>55</v>
      </c>
      <c r="G17" s="36">
        <v>100</v>
      </c>
      <c r="H17" s="36">
        <v>32</v>
      </c>
      <c r="I17" s="36">
        <v>92</v>
      </c>
      <c r="J17" s="36">
        <v>0.55000000000000004</v>
      </c>
    </row>
    <row r="18" spans="1:10" x14ac:dyDescent="0.25">
      <c r="A18" s="41">
        <v>40</v>
      </c>
      <c r="B18" s="36">
        <v>58</v>
      </c>
      <c r="C18" s="36">
        <v>65</v>
      </c>
      <c r="D18" s="36">
        <v>19</v>
      </c>
      <c r="E18" s="36">
        <v>68</v>
      </c>
      <c r="F18" s="36">
        <v>55</v>
      </c>
      <c r="G18" s="36">
        <v>100</v>
      </c>
      <c r="H18" s="36">
        <v>32</v>
      </c>
      <c r="I18" s="36">
        <v>92</v>
      </c>
      <c r="J18" s="36">
        <v>0.55000000000000004</v>
      </c>
    </row>
    <row r="19" spans="1:10" x14ac:dyDescent="0.25">
      <c r="A19" s="41">
        <v>41</v>
      </c>
      <c r="B19" s="36">
        <v>58</v>
      </c>
      <c r="C19" s="36">
        <v>65</v>
      </c>
      <c r="D19" s="36">
        <v>19</v>
      </c>
      <c r="E19" s="36">
        <v>68</v>
      </c>
      <c r="F19" s="36">
        <v>55</v>
      </c>
      <c r="G19" s="36">
        <v>100</v>
      </c>
      <c r="H19" s="36">
        <v>32</v>
      </c>
      <c r="I19" s="36">
        <v>92</v>
      </c>
      <c r="J19" s="36">
        <v>0.55000000000000004</v>
      </c>
    </row>
    <row r="20" spans="1:10" x14ac:dyDescent="0.25">
      <c r="A20" s="41">
        <v>42</v>
      </c>
      <c r="B20" s="36">
        <v>58</v>
      </c>
      <c r="C20" s="36">
        <v>65</v>
      </c>
      <c r="D20" s="36">
        <v>19</v>
      </c>
      <c r="E20" s="36">
        <v>68</v>
      </c>
      <c r="F20" s="36">
        <v>55</v>
      </c>
      <c r="G20" s="36">
        <v>100</v>
      </c>
      <c r="H20" s="36">
        <v>32</v>
      </c>
      <c r="I20" s="36">
        <v>92</v>
      </c>
      <c r="J20" s="36">
        <v>0.55000000000000004</v>
      </c>
    </row>
    <row r="21" spans="1:10" x14ac:dyDescent="0.25">
      <c r="A21" s="41">
        <v>43</v>
      </c>
      <c r="B21" s="36">
        <v>58</v>
      </c>
      <c r="C21" s="36">
        <v>65</v>
      </c>
      <c r="D21" s="36">
        <v>19</v>
      </c>
      <c r="E21" s="36">
        <v>68</v>
      </c>
      <c r="F21" s="36">
        <v>55</v>
      </c>
      <c r="G21" s="36">
        <v>100</v>
      </c>
      <c r="H21" s="36">
        <v>32</v>
      </c>
      <c r="I21" s="36">
        <v>92</v>
      </c>
      <c r="J21" s="36">
        <v>0.55000000000000004</v>
      </c>
    </row>
    <row r="22" spans="1:10" x14ac:dyDescent="0.25">
      <c r="A22" s="41">
        <v>44</v>
      </c>
      <c r="B22" s="36">
        <v>58</v>
      </c>
      <c r="C22" s="36">
        <v>65</v>
      </c>
      <c r="D22" s="36">
        <v>19</v>
      </c>
      <c r="E22" s="36">
        <v>68</v>
      </c>
      <c r="F22" s="36">
        <v>55</v>
      </c>
      <c r="G22" s="36">
        <v>100</v>
      </c>
      <c r="H22" s="36">
        <v>32</v>
      </c>
      <c r="I22" s="36">
        <v>92</v>
      </c>
      <c r="J22" s="36">
        <v>0.55000000000000004</v>
      </c>
    </row>
    <row r="23" spans="1:10" x14ac:dyDescent="0.25">
      <c r="A23" s="41">
        <v>45</v>
      </c>
      <c r="B23" s="36">
        <v>58</v>
      </c>
      <c r="C23" s="36">
        <v>65</v>
      </c>
      <c r="D23" s="36">
        <v>19</v>
      </c>
      <c r="E23" s="36">
        <v>68</v>
      </c>
      <c r="F23" s="36">
        <v>55</v>
      </c>
      <c r="G23" s="36">
        <v>100</v>
      </c>
      <c r="H23" s="36">
        <v>32</v>
      </c>
      <c r="I23" s="36">
        <v>92</v>
      </c>
      <c r="J23" s="36">
        <v>0.55000000000000004</v>
      </c>
    </row>
    <row r="24" spans="1:10" x14ac:dyDescent="0.25">
      <c r="A24" s="41">
        <v>46</v>
      </c>
      <c r="B24" s="36">
        <v>58</v>
      </c>
      <c r="C24" s="36">
        <v>65</v>
      </c>
      <c r="D24" s="36">
        <v>19</v>
      </c>
      <c r="E24" s="36">
        <v>68</v>
      </c>
      <c r="F24" s="36">
        <v>55</v>
      </c>
      <c r="G24" s="36">
        <v>100</v>
      </c>
      <c r="H24" s="36">
        <v>32</v>
      </c>
      <c r="I24" s="36">
        <v>92</v>
      </c>
      <c r="J24" s="36">
        <v>0.55000000000000004</v>
      </c>
    </row>
    <row r="25" spans="1:10" x14ac:dyDescent="0.25">
      <c r="A25" s="41">
        <v>47</v>
      </c>
      <c r="B25" s="36">
        <v>58</v>
      </c>
      <c r="C25" s="36">
        <v>65</v>
      </c>
      <c r="D25" s="36">
        <v>19</v>
      </c>
      <c r="E25" s="36">
        <v>68</v>
      </c>
      <c r="F25" s="36">
        <v>55</v>
      </c>
      <c r="G25" s="36">
        <v>100</v>
      </c>
      <c r="H25" s="36">
        <v>32</v>
      </c>
      <c r="I25" s="36">
        <v>92</v>
      </c>
      <c r="J25" s="36">
        <v>0.55000000000000004</v>
      </c>
    </row>
    <row r="26" spans="1:10" x14ac:dyDescent="0.25">
      <c r="A26" s="41">
        <v>48</v>
      </c>
      <c r="B26" s="36">
        <v>58</v>
      </c>
      <c r="C26" s="36">
        <v>65</v>
      </c>
      <c r="D26" s="36">
        <v>19</v>
      </c>
      <c r="E26" s="36">
        <v>68</v>
      </c>
      <c r="F26" s="36">
        <v>55</v>
      </c>
      <c r="G26" s="36">
        <v>100</v>
      </c>
      <c r="H26" s="36">
        <v>32</v>
      </c>
      <c r="I26" s="36">
        <v>92</v>
      </c>
      <c r="J26" s="36">
        <v>0.55000000000000004</v>
      </c>
    </row>
    <row r="27" spans="1:10" x14ac:dyDescent="0.25">
      <c r="A27" s="41">
        <v>49</v>
      </c>
      <c r="B27" s="36">
        <v>58</v>
      </c>
      <c r="C27" s="36">
        <v>65</v>
      </c>
      <c r="D27" s="36">
        <v>19</v>
      </c>
      <c r="E27" s="36">
        <v>68</v>
      </c>
      <c r="F27" s="36">
        <v>55</v>
      </c>
      <c r="G27" s="36">
        <v>100</v>
      </c>
      <c r="H27" s="36">
        <v>32</v>
      </c>
      <c r="I27" s="36">
        <v>92</v>
      </c>
      <c r="J27" s="36">
        <v>0.55000000000000004</v>
      </c>
    </row>
    <row r="28" spans="1:10" x14ac:dyDescent="0.25">
      <c r="A28" s="41">
        <v>50</v>
      </c>
      <c r="B28" s="36">
        <v>58</v>
      </c>
      <c r="C28" s="36">
        <v>65</v>
      </c>
      <c r="D28" s="36">
        <v>18</v>
      </c>
      <c r="E28" s="36">
        <v>68</v>
      </c>
      <c r="F28" s="36">
        <v>56</v>
      </c>
      <c r="G28" s="36">
        <v>101</v>
      </c>
      <c r="H28" s="36">
        <v>34</v>
      </c>
      <c r="I28" s="36">
        <v>94</v>
      </c>
      <c r="J28" s="36">
        <v>0.45</v>
      </c>
    </row>
    <row r="29" spans="1:10" x14ac:dyDescent="0.25">
      <c r="A29" s="41">
        <v>51</v>
      </c>
      <c r="B29" s="36">
        <v>58</v>
      </c>
      <c r="C29" s="36">
        <v>65</v>
      </c>
      <c r="D29" s="36">
        <v>18</v>
      </c>
      <c r="E29" s="36">
        <v>68</v>
      </c>
      <c r="F29" s="36">
        <v>56</v>
      </c>
      <c r="G29" s="36">
        <v>101</v>
      </c>
      <c r="H29" s="36">
        <v>34</v>
      </c>
      <c r="I29" s="36">
        <v>94</v>
      </c>
      <c r="J29" s="36">
        <v>0.45</v>
      </c>
    </row>
    <row r="30" spans="1:10" x14ac:dyDescent="0.25">
      <c r="A30" s="41">
        <v>52</v>
      </c>
      <c r="B30" s="36">
        <v>58</v>
      </c>
      <c r="C30" s="36">
        <v>65</v>
      </c>
      <c r="D30" s="36">
        <v>18</v>
      </c>
      <c r="E30" s="36">
        <v>68</v>
      </c>
      <c r="F30" s="36">
        <v>56</v>
      </c>
      <c r="G30" s="36">
        <v>101</v>
      </c>
      <c r="H30" s="36">
        <v>34</v>
      </c>
      <c r="I30" s="36">
        <v>94</v>
      </c>
      <c r="J30" s="36">
        <v>0.45</v>
      </c>
    </row>
    <row r="31" spans="1:10" x14ac:dyDescent="0.25">
      <c r="A31" s="41">
        <v>53</v>
      </c>
      <c r="B31" s="36">
        <v>58</v>
      </c>
      <c r="C31" s="36">
        <v>65</v>
      </c>
      <c r="D31" s="36">
        <v>18</v>
      </c>
      <c r="E31" s="36">
        <v>68</v>
      </c>
      <c r="F31" s="36">
        <v>56</v>
      </c>
      <c r="G31" s="36">
        <v>101</v>
      </c>
      <c r="H31" s="36">
        <v>34</v>
      </c>
      <c r="I31" s="36">
        <v>94</v>
      </c>
      <c r="J31" s="36">
        <v>0.45</v>
      </c>
    </row>
    <row r="32" spans="1:10" x14ac:dyDescent="0.25">
      <c r="A32" s="41">
        <v>54</v>
      </c>
      <c r="B32" s="36">
        <v>58</v>
      </c>
      <c r="C32" s="36">
        <v>65</v>
      </c>
      <c r="D32" s="36">
        <v>18</v>
      </c>
      <c r="E32" s="36">
        <v>68</v>
      </c>
      <c r="F32" s="36">
        <v>56</v>
      </c>
      <c r="G32" s="36">
        <v>101</v>
      </c>
      <c r="H32" s="36">
        <v>34</v>
      </c>
      <c r="I32" s="36">
        <v>94</v>
      </c>
      <c r="J32" s="36">
        <v>0.45</v>
      </c>
    </row>
    <row r="33" spans="1:10" x14ac:dyDescent="0.25">
      <c r="A33" s="41">
        <v>55</v>
      </c>
      <c r="B33" s="36">
        <v>58</v>
      </c>
      <c r="C33" s="36">
        <v>65</v>
      </c>
      <c r="D33" s="36">
        <v>18</v>
      </c>
      <c r="E33" s="36">
        <v>68</v>
      </c>
      <c r="F33" s="36">
        <v>56</v>
      </c>
      <c r="G33" s="36">
        <v>101</v>
      </c>
      <c r="H33" s="36">
        <v>34</v>
      </c>
      <c r="I33" s="36">
        <v>94</v>
      </c>
      <c r="J33" s="36">
        <v>0.45</v>
      </c>
    </row>
    <row r="34" spans="1:10" x14ac:dyDescent="0.25">
      <c r="A34" s="41">
        <v>56</v>
      </c>
      <c r="B34" s="36">
        <v>58</v>
      </c>
      <c r="C34" s="36">
        <v>65</v>
      </c>
      <c r="D34" s="36">
        <v>18</v>
      </c>
      <c r="E34" s="36">
        <v>68</v>
      </c>
      <c r="F34" s="36">
        <v>56</v>
      </c>
      <c r="G34" s="36">
        <v>101</v>
      </c>
      <c r="H34" s="36">
        <v>34</v>
      </c>
      <c r="I34" s="36">
        <v>94</v>
      </c>
      <c r="J34" s="36">
        <v>0.45</v>
      </c>
    </row>
    <row r="35" spans="1:10" x14ac:dyDescent="0.25">
      <c r="A35" s="41">
        <v>57</v>
      </c>
      <c r="B35" s="36">
        <v>58</v>
      </c>
      <c r="C35" s="36">
        <v>65</v>
      </c>
      <c r="D35" s="36">
        <v>18</v>
      </c>
      <c r="E35" s="36">
        <v>68</v>
      </c>
      <c r="F35" s="36">
        <v>56</v>
      </c>
      <c r="G35" s="36">
        <v>101</v>
      </c>
      <c r="H35" s="36">
        <v>34</v>
      </c>
      <c r="I35" s="36">
        <v>94</v>
      </c>
      <c r="J35" s="36">
        <v>0.45</v>
      </c>
    </row>
    <row r="36" spans="1:10" x14ac:dyDescent="0.25">
      <c r="A36" s="41">
        <v>58</v>
      </c>
      <c r="B36" s="36">
        <v>58</v>
      </c>
      <c r="C36" s="36">
        <v>65</v>
      </c>
      <c r="D36" s="36">
        <v>18</v>
      </c>
      <c r="E36" s="36">
        <v>68</v>
      </c>
      <c r="F36" s="36">
        <v>56</v>
      </c>
      <c r="G36" s="36">
        <v>101</v>
      </c>
      <c r="H36" s="36">
        <v>34</v>
      </c>
      <c r="I36" s="36">
        <v>94</v>
      </c>
      <c r="J36" s="36">
        <v>0.45</v>
      </c>
    </row>
    <row r="37" spans="1:10" x14ac:dyDescent="0.25">
      <c r="A37" s="41">
        <v>59</v>
      </c>
      <c r="B37" s="36">
        <v>58</v>
      </c>
      <c r="C37" s="36">
        <v>65</v>
      </c>
      <c r="D37" s="36">
        <v>18</v>
      </c>
      <c r="E37" s="36">
        <v>68</v>
      </c>
      <c r="F37" s="36">
        <v>56</v>
      </c>
      <c r="G37" s="36">
        <v>101</v>
      </c>
      <c r="H37" s="36">
        <v>34</v>
      </c>
      <c r="I37" s="36">
        <v>94</v>
      </c>
      <c r="J37" s="36">
        <v>0.45</v>
      </c>
    </row>
    <row r="38" spans="1:10" x14ac:dyDescent="0.25">
      <c r="A38" s="41">
        <v>60</v>
      </c>
      <c r="B38" s="36">
        <v>58</v>
      </c>
      <c r="C38" s="36">
        <v>65</v>
      </c>
      <c r="D38" s="36">
        <v>18</v>
      </c>
      <c r="E38" s="36">
        <v>68</v>
      </c>
      <c r="F38" s="36">
        <v>56</v>
      </c>
      <c r="G38" s="36">
        <v>101</v>
      </c>
      <c r="H38" s="36">
        <v>34</v>
      </c>
      <c r="I38" s="36">
        <v>94</v>
      </c>
      <c r="J38" s="36">
        <v>0.45</v>
      </c>
    </row>
    <row r="39" spans="1:10" x14ac:dyDescent="0.25">
      <c r="A39" s="41">
        <v>61</v>
      </c>
      <c r="B39" s="36">
        <v>58</v>
      </c>
      <c r="C39" s="36">
        <v>65</v>
      </c>
      <c r="D39" s="36">
        <v>18</v>
      </c>
      <c r="E39" s="36">
        <v>68</v>
      </c>
      <c r="F39" s="36">
        <v>56</v>
      </c>
      <c r="G39" s="36">
        <v>101</v>
      </c>
      <c r="H39" s="36">
        <v>34</v>
      </c>
      <c r="I39" s="36">
        <v>94</v>
      </c>
      <c r="J39" s="36">
        <v>0.45</v>
      </c>
    </row>
    <row r="40" spans="1:10" x14ac:dyDescent="0.25">
      <c r="A40" s="41">
        <v>62</v>
      </c>
      <c r="B40" s="36">
        <v>58</v>
      </c>
      <c r="C40" s="36">
        <v>65</v>
      </c>
      <c r="D40" s="36">
        <v>18</v>
      </c>
      <c r="E40" s="36">
        <v>68</v>
      </c>
      <c r="F40" s="36">
        <v>56</v>
      </c>
      <c r="G40" s="36">
        <v>101</v>
      </c>
      <c r="H40" s="36">
        <v>34</v>
      </c>
      <c r="I40" s="36">
        <v>94</v>
      </c>
      <c r="J40" s="36">
        <v>0.45</v>
      </c>
    </row>
    <row r="41" spans="1:10" x14ac:dyDescent="0.25">
      <c r="A41" s="41">
        <v>63</v>
      </c>
      <c r="B41" s="36">
        <v>58</v>
      </c>
      <c r="C41" s="36">
        <v>65</v>
      </c>
      <c r="D41" s="36">
        <v>18</v>
      </c>
      <c r="E41" s="36">
        <v>68</v>
      </c>
      <c r="F41" s="36">
        <v>56</v>
      </c>
      <c r="G41" s="36">
        <v>101</v>
      </c>
      <c r="H41" s="36">
        <v>34</v>
      </c>
      <c r="I41" s="36">
        <v>94</v>
      </c>
      <c r="J41" s="36">
        <v>0.45</v>
      </c>
    </row>
    <row r="42" spans="1:10" x14ac:dyDescent="0.25">
      <c r="A42" s="41">
        <v>64</v>
      </c>
      <c r="B42" s="36">
        <v>58</v>
      </c>
      <c r="C42" s="36">
        <v>65</v>
      </c>
      <c r="D42" s="36">
        <v>18</v>
      </c>
      <c r="E42" s="36">
        <v>68</v>
      </c>
      <c r="F42" s="36">
        <v>56</v>
      </c>
      <c r="G42" s="36">
        <v>101</v>
      </c>
      <c r="H42" s="36">
        <v>34</v>
      </c>
      <c r="I42" s="36">
        <v>94</v>
      </c>
      <c r="J42" s="36">
        <v>0.45</v>
      </c>
    </row>
    <row r="43" spans="1:10" x14ac:dyDescent="0.25">
      <c r="A43" s="41">
        <v>65</v>
      </c>
      <c r="B43" s="36">
        <v>58</v>
      </c>
      <c r="C43" s="36">
        <v>65</v>
      </c>
      <c r="D43" s="36">
        <v>18</v>
      </c>
      <c r="E43" s="36">
        <v>68</v>
      </c>
      <c r="F43" s="36">
        <v>56</v>
      </c>
      <c r="G43" s="36">
        <v>101</v>
      </c>
      <c r="H43" s="36">
        <v>34</v>
      </c>
      <c r="I43" s="36">
        <v>94</v>
      </c>
      <c r="J43" s="36">
        <v>0.45</v>
      </c>
    </row>
    <row r="44" spans="1:10" x14ac:dyDescent="0.25">
      <c r="A44" s="41">
        <v>66</v>
      </c>
      <c r="B44" s="36">
        <v>58</v>
      </c>
      <c r="C44" s="36">
        <v>65</v>
      </c>
      <c r="D44" s="36">
        <v>18</v>
      </c>
      <c r="E44" s="36">
        <v>68</v>
      </c>
      <c r="F44" s="36">
        <v>56</v>
      </c>
      <c r="G44" s="36">
        <v>101</v>
      </c>
      <c r="H44" s="36">
        <v>34</v>
      </c>
      <c r="I44" s="36">
        <v>94</v>
      </c>
      <c r="J44" s="36">
        <v>0.45</v>
      </c>
    </row>
    <row r="45" spans="1:10" x14ac:dyDescent="0.25">
      <c r="A45" s="41">
        <v>67</v>
      </c>
      <c r="B45" s="36">
        <v>58</v>
      </c>
      <c r="C45" s="36">
        <v>65</v>
      </c>
      <c r="D45" s="36">
        <v>18</v>
      </c>
      <c r="E45" s="36">
        <v>68</v>
      </c>
      <c r="F45" s="36">
        <v>56</v>
      </c>
      <c r="G45" s="36">
        <v>101</v>
      </c>
      <c r="H45" s="36">
        <v>34</v>
      </c>
      <c r="I45" s="36">
        <v>94</v>
      </c>
      <c r="J45" s="36">
        <v>0.45</v>
      </c>
    </row>
    <row r="46" spans="1:10" x14ac:dyDescent="0.25">
      <c r="A46" s="41">
        <v>68</v>
      </c>
      <c r="B46" s="36">
        <v>58</v>
      </c>
      <c r="C46" s="36">
        <v>65</v>
      </c>
      <c r="D46" s="36">
        <v>18</v>
      </c>
      <c r="E46" s="36">
        <v>68</v>
      </c>
      <c r="F46" s="36">
        <v>56</v>
      </c>
      <c r="G46" s="36">
        <v>101</v>
      </c>
      <c r="H46" s="36">
        <v>34</v>
      </c>
      <c r="I46" s="36">
        <v>94</v>
      </c>
      <c r="J46" s="36">
        <v>0.45</v>
      </c>
    </row>
    <row r="47" spans="1:10" x14ac:dyDescent="0.25">
      <c r="A47" s="41">
        <v>69</v>
      </c>
      <c r="B47" s="36">
        <v>58</v>
      </c>
      <c r="C47" s="36">
        <v>65</v>
      </c>
      <c r="D47" s="36">
        <v>18</v>
      </c>
      <c r="E47" s="36">
        <v>68</v>
      </c>
      <c r="F47" s="36">
        <v>56</v>
      </c>
      <c r="G47" s="36">
        <v>101</v>
      </c>
      <c r="H47" s="36">
        <v>34</v>
      </c>
      <c r="I47" s="36">
        <v>94</v>
      </c>
      <c r="J47" s="36">
        <v>0.45</v>
      </c>
    </row>
    <row r="48" spans="1:10" x14ac:dyDescent="0.25">
      <c r="A48" s="41">
        <v>70</v>
      </c>
      <c r="B48" s="36">
        <v>58</v>
      </c>
      <c r="C48" s="36">
        <v>65</v>
      </c>
      <c r="D48" s="36">
        <v>18</v>
      </c>
      <c r="E48" s="36">
        <v>68</v>
      </c>
      <c r="F48" s="36">
        <v>56</v>
      </c>
      <c r="G48" s="36">
        <v>101</v>
      </c>
      <c r="H48" s="36">
        <v>34</v>
      </c>
      <c r="I48" s="36">
        <v>94</v>
      </c>
      <c r="J48" s="36">
        <v>0.45</v>
      </c>
    </row>
    <row r="49" spans="1:10" x14ac:dyDescent="0.25">
      <c r="A49" s="41">
        <v>71</v>
      </c>
      <c r="B49" s="36">
        <v>58</v>
      </c>
      <c r="C49" s="36">
        <v>65</v>
      </c>
      <c r="D49" s="36">
        <v>18</v>
      </c>
      <c r="E49" s="36">
        <v>68</v>
      </c>
      <c r="F49" s="36">
        <v>56</v>
      </c>
      <c r="G49" s="36">
        <v>101</v>
      </c>
      <c r="H49" s="36">
        <v>34</v>
      </c>
      <c r="I49" s="36">
        <v>94</v>
      </c>
      <c r="J49" s="36">
        <v>0.45</v>
      </c>
    </row>
    <row r="50" spans="1:10" x14ac:dyDescent="0.25">
      <c r="A50" s="41">
        <v>72</v>
      </c>
      <c r="B50" s="36">
        <v>58</v>
      </c>
      <c r="C50" s="36">
        <v>65</v>
      </c>
      <c r="D50" s="36">
        <v>18</v>
      </c>
      <c r="E50" s="36">
        <v>68</v>
      </c>
      <c r="F50" s="36">
        <v>56</v>
      </c>
      <c r="G50" s="36">
        <v>101</v>
      </c>
      <c r="H50" s="36">
        <v>34</v>
      </c>
      <c r="I50" s="36">
        <v>94</v>
      </c>
      <c r="J50" s="36">
        <v>0.45</v>
      </c>
    </row>
    <row r="51" spans="1:10" x14ac:dyDescent="0.25">
      <c r="A51" s="41">
        <v>73</v>
      </c>
      <c r="B51" s="36">
        <v>58</v>
      </c>
      <c r="C51" s="36">
        <v>65</v>
      </c>
      <c r="D51" s="36">
        <v>18</v>
      </c>
      <c r="E51" s="36">
        <v>68</v>
      </c>
      <c r="F51" s="36">
        <v>56</v>
      </c>
      <c r="G51" s="36">
        <v>101</v>
      </c>
      <c r="H51" s="36">
        <v>34</v>
      </c>
      <c r="I51" s="36">
        <v>94</v>
      </c>
      <c r="J51" s="36">
        <v>0.45</v>
      </c>
    </row>
    <row r="52" spans="1:10" x14ac:dyDescent="0.25">
      <c r="A52" s="41">
        <v>74</v>
      </c>
      <c r="B52" s="36">
        <v>58</v>
      </c>
      <c r="C52" s="36">
        <v>65</v>
      </c>
      <c r="D52" s="36">
        <v>18</v>
      </c>
      <c r="E52" s="36">
        <v>68</v>
      </c>
      <c r="F52" s="36">
        <v>56</v>
      </c>
      <c r="G52" s="36">
        <v>101</v>
      </c>
      <c r="H52" s="36">
        <v>34</v>
      </c>
      <c r="I52" s="36">
        <v>94</v>
      </c>
      <c r="J52" s="36">
        <v>0.45</v>
      </c>
    </row>
    <row r="53" spans="1:10" x14ac:dyDescent="0.25">
      <c r="A53" s="41">
        <v>75</v>
      </c>
      <c r="B53" s="36">
        <v>58</v>
      </c>
      <c r="C53" s="36">
        <v>65</v>
      </c>
      <c r="D53" s="36">
        <v>18</v>
      </c>
      <c r="E53" s="36">
        <v>68</v>
      </c>
      <c r="F53" s="36">
        <v>56</v>
      </c>
      <c r="G53" s="36">
        <v>101</v>
      </c>
      <c r="H53" s="36">
        <v>34</v>
      </c>
      <c r="I53" s="36">
        <v>94</v>
      </c>
      <c r="J53" s="36">
        <v>0.45</v>
      </c>
    </row>
    <row r="54" spans="1:10" x14ac:dyDescent="0.25">
      <c r="A54" s="41">
        <v>76</v>
      </c>
      <c r="B54" s="36">
        <v>58</v>
      </c>
      <c r="C54" s="36">
        <v>65</v>
      </c>
      <c r="D54" s="36">
        <v>18</v>
      </c>
      <c r="E54" s="36">
        <v>68</v>
      </c>
      <c r="F54" s="36">
        <v>56</v>
      </c>
      <c r="G54" s="36">
        <v>101</v>
      </c>
      <c r="H54" s="36">
        <v>34</v>
      </c>
      <c r="I54" s="36">
        <v>94</v>
      </c>
      <c r="J54" s="36">
        <v>0.45</v>
      </c>
    </row>
    <row r="55" spans="1:10" x14ac:dyDescent="0.25">
      <c r="A55" s="41">
        <v>77</v>
      </c>
      <c r="B55" s="36">
        <v>58</v>
      </c>
      <c r="C55" s="36">
        <v>65</v>
      </c>
      <c r="D55" s="36">
        <v>18</v>
      </c>
      <c r="E55" s="36">
        <v>68</v>
      </c>
      <c r="F55" s="36">
        <v>56</v>
      </c>
      <c r="G55" s="36">
        <v>101</v>
      </c>
      <c r="H55" s="36">
        <v>34</v>
      </c>
      <c r="I55" s="36">
        <v>94</v>
      </c>
      <c r="J55" s="36">
        <v>0.45</v>
      </c>
    </row>
    <row r="56" spans="1:10" x14ac:dyDescent="0.25">
      <c r="A56" s="41">
        <v>78</v>
      </c>
      <c r="B56" s="36">
        <v>58</v>
      </c>
      <c r="C56" s="36">
        <v>65</v>
      </c>
      <c r="D56" s="36">
        <v>18</v>
      </c>
      <c r="E56" s="36">
        <v>68</v>
      </c>
      <c r="F56" s="36">
        <v>56</v>
      </c>
      <c r="G56" s="36">
        <v>101</v>
      </c>
      <c r="H56" s="36">
        <v>34</v>
      </c>
      <c r="I56" s="36">
        <v>94</v>
      </c>
      <c r="J56" s="36">
        <v>0.45</v>
      </c>
    </row>
    <row r="57" spans="1:10" x14ac:dyDescent="0.25">
      <c r="A57" s="41">
        <v>79</v>
      </c>
      <c r="B57" s="36">
        <v>58</v>
      </c>
      <c r="C57" s="36">
        <v>65</v>
      </c>
      <c r="D57" s="36">
        <v>18</v>
      </c>
      <c r="E57" s="36">
        <v>68</v>
      </c>
      <c r="F57" s="36">
        <v>56</v>
      </c>
      <c r="G57" s="36">
        <v>101</v>
      </c>
      <c r="H57" s="36">
        <v>34</v>
      </c>
      <c r="I57" s="36">
        <v>94</v>
      </c>
      <c r="J57" s="36">
        <v>0.45</v>
      </c>
    </row>
    <row r="58" spans="1:10" x14ac:dyDescent="0.25">
      <c r="A58" s="41">
        <v>80</v>
      </c>
      <c r="B58" s="36">
        <v>58</v>
      </c>
      <c r="C58" s="36">
        <v>65</v>
      </c>
      <c r="D58" s="36">
        <v>18</v>
      </c>
      <c r="E58" s="36">
        <v>68</v>
      </c>
      <c r="F58" s="36">
        <v>56</v>
      </c>
      <c r="G58" s="36">
        <v>101</v>
      </c>
      <c r="H58" s="36">
        <v>34</v>
      </c>
      <c r="I58" s="36">
        <v>94</v>
      </c>
      <c r="J58" s="36">
        <v>0.45</v>
      </c>
    </row>
    <row r="59" spans="1:10" x14ac:dyDescent="0.25">
      <c r="A59" s="41">
        <v>81</v>
      </c>
      <c r="B59" s="36">
        <v>58</v>
      </c>
      <c r="C59" s="36">
        <v>65</v>
      </c>
      <c r="D59" s="36">
        <v>18</v>
      </c>
      <c r="E59" s="36">
        <v>68</v>
      </c>
      <c r="F59" s="36">
        <v>56</v>
      </c>
      <c r="G59" s="36">
        <v>101</v>
      </c>
      <c r="H59" s="36">
        <v>34</v>
      </c>
      <c r="I59" s="36">
        <v>94</v>
      </c>
      <c r="J59" s="36">
        <v>0.45</v>
      </c>
    </row>
    <row r="60" spans="1:10" x14ac:dyDescent="0.25">
      <c r="A60" s="41">
        <v>82</v>
      </c>
      <c r="B60" s="36">
        <v>58</v>
      </c>
      <c r="C60" s="36">
        <v>65</v>
      </c>
      <c r="D60" s="36">
        <v>18</v>
      </c>
      <c r="E60" s="36">
        <v>68</v>
      </c>
      <c r="F60" s="36">
        <v>56</v>
      </c>
      <c r="G60" s="36">
        <v>101</v>
      </c>
      <c r="H60" s="36">
        <v>34</v>
      </c>
      <c r="I60" s="36">
        <v>94</v>
      </c>
      <c r="J60" s="36">
        <v>0.45</v>
      </c>
    </row>
    <row r="61" spans="1:10" x14ac:dyDescent="0.25">
      <c r="A61" s="41">
        <v>83</v>
      </c>
      <c r="B61" s="36">
        <v>58</v>
      </c>
      <c r="C61" s="36">
        <v>65</v>
      </c>
      <c r="D61" s="36">
        <v>18</v>
      </c>
      <c r="E61" s="36">
        <v>68</v>
      </c>
      <c r="F61" s="36">
        <v>56</v>
      </c>
      <c r="G61" s="36">
        <v>101</v>
      </c>
      <c r="H61" s="36">
        <v>34</v>
      </c>
      <c r="I61" s="36">
        <v>94</v>
      </c>
      <c r="J61" s="36">
        <v>0.45</v>
      </c>
    </row>
    <row r="62" spans="1:10" x14ac:dyDescent="0.25">
      <c r="A62" s="41">
        <v>84</v>
      </c>
      <c r="B62" s="36">
        <v>58</v>
      </c>
      <c r="C62" s="36">
        <v>65</v>
      </c>
      <c r="D62" s="36">
        <v>18</v>
      </c>
      <c r="E62" s="36">
        <v>68</v>
      </c>
      <c r="F62" s="36">
        <v>56</v>
      </c>
      <c r="G62" s="36">
        <v>101</v>
      </c>
      <c r="H62" s="36">
        <v>34</v>
      </c>
      <c r="I62" s="36">
        <v>94</v>
      </c>
      <c r="J62" s="36">
        <v>0.45</v>
      </c>
    </row>
    <row r="63" spans="1:10" x14ac:dyDescent="0.25">
      <c r="A63" s="41">
        <v>85</v>
      </c>
      <c r="B63" s="36">
        <v>58</v>
      </c>
      <c r="C63" s="36">
        <v>65</v>
      </c>
      <c r="D63" s="36">
        <v>18</v>
      </c>
      <c r="E63" s="36">
        <v>68</v>
      </c>
      <c r="F63" s="36">
        <v>56</v>
      </c>
      <c r="G63" s="36">
        <v>101</v>
      </c>
      <c r="H63" s="36">
        <v>34</v>
      </c>
      <c r="I63" s="36">
        <v>94</v>
      </c>
      <c r="J63" s="36">
        <v>0.45</v>
      </c>
    </row>
    <row r="64" spans="1:10" x14ac:dyDescent="0.25">
      <c r="A64" s="41">
        <v>86</v>
      </c>
      <c r="B64" s="36">
        <v>58</v>
      </c>
      <c r="C64" s="36">
        <v>65</v>
      </c>
      <c r="D64" s="36">
        <v>18</v>
      </c>
      <c r="E64" s="36">
        <v>68</v>
      </c>
      <c r="F64" s="36">
        <v>56</v>
      </c>
      <c r="G64" s="36">
        <v>101</v>
      </c>
      <c r="H64" s="36">
        <v>34</v>
      </c>
      <c r="I64" s="36">
        <v>94</v>
      </c>
      <c r="J64" s="36">
        <v>0.45</v>
      </c>
    </row>
    <row r="65" spans="1:10" x14ac:dyDescent="0.25">
      <c r="A65" s="41">
        <v>87</v>
      </c>
      <c r="B65" s="36">
        <v>58</v>
      </c>
      <c r="C65" s="36">
        <v>65</v>
      </c>
      <c r="D65" s="36">
        <v>18</v>
      </c>
      <c r="E65" s="36">
        <v>68</v>
      </c>
      <c r="F65" s="36">
        <v>56</v>
      </c>
      <c r="G65" s="36">
        <v>101</v>
      </c>
      <c r="H65" s="36">
        <v>34</v>
      </c>
      <c r="I65" s="36">
        <v>94</v>
      </c>
      <c r="J65" s="36">
        <v>0.45</v>
      </c>
    </row>
    <row r="66" spans="1:10" x14ac:dyDescent="0.25">
      <c r="A66" s="41">
        <v>88</v>
      </c>
      <c r="B66" s="36">
        <v>58</v>
      </c>
      <c r="C66" s="36">
        <v>65</v>
      </c>
      <c r="D66" s="36">
        <v>18</v>
      </c>
      <c r="E66" s="36">
        <v>68</v>
      </c>
      <c r="F66" s="36">
        <v>56</v>
      </c>
      <c r="G66" s="36">
        <v>101</v>
      </c>
      <c r="H66" s="36">
        <v>34</v>
      </c>
      <c r="I66" s="36">
        <v>94</v>
      </c>
      <c r="J66" s="36">
        <v>0.45</v>
      </c>
    </row>
    <row r="67" spans="1:10" x14ac:dyDescent="0.25">
      <c r="A67" s="41">
        <v>89</v>
      </c>
      <c r="B67" s="36">
        <v>58</v>
      </c>
      <c r="C67" s="36">
        <v>65</v>
      </c>
      <c r="D67" s="36">
        <v>18</v>
      </c>
      <c r="E67" s="36">
        <v>68</v>
      </c>
      <c r="F67" s="36">
        <v>56</v>
      </c>
      <c r="G67" s="36">
        <v>101</v>
      </c>
      <c r="H67" s="36">
        <v>34</v>
      </c>
      <c r="I67" s="36">
        <v>94</v>
      </c>
      <c r="J67" s="36">
        <v>0.45</v>
      </c>
    </row>
    <row r="68" spans="1:10" x14ac:dyDescent="0.25">
      <c r="A68" s="41">
        <v>90</v>
      </c>
      <c r="B68" s="36">
        <v>58</v>
      </c>
      <c r="C68" s="36">
        <v>65</v>
      </c>
      <c r="D68" s="36">
        <v>18</v>
      </c>
      <c r="E68" s="36">
        <v>68</v>
      </c>
      <c r="F68" s="36">
        <v>56</v>
      </c>
      <c r="G68" s="36">
        <v>101</v>
      </c>
      <c r="H68" s="36">
        <v>34</v>
      </c>
      <c r="I68" s="36">
        <v>94</v>
      </c>
      <c r="J68" s="36">
        <v>0.4</v>
      </c>
    </row>
    <row r="69" spans="1:10" x14ac:dyDescent="0.25">
      <c r="A69" s="41">
        <v>91</v>
      </c>
      <c r="B69" s="36">
        <v>58</v>
      </c>
      <c r="C69" s="36">
        <v>65</v>
      </c>
      <c r="D69" s="36">
        <v>18</v>
      </c>
      <c r="E69" s="36">
        <v>68</v>
      </c>
      <c r="F69" s="36">
        <v>56</v>
      </c>
      <c r="G69" s="36">
        <v>101</v>
      </c>
      <c r="H69" s="36">
        <v>34</v>
      </c>
      <c r="I69" s="36">
        <v>94</v>
      </c>
      <c r="J69" s="36">
        <v>0.4</v>
      </c>
    </row>
    <row r="70" spans="1:10" x14ac:dyDescent="0.25">
      <c r="A70" s="41">
        <v>92</v>
      </c>
      <c r="B70" s="36">
        <v>58</v>
      </c>
      <c r="C70" s="36">
        <v>65</v>
      </c>
      <c r="D70" s="36">
        <v>18</v>
      </c>
      <c r="E70" s="36">
        <v>68</v>
      </c>
      <c r="F70" s="36">
        <v>56</v>
      </c>
      <c r="G70" s="36">
        <v>101</v>
      </c>
      <c r="H70" s="36">
        <v>34</v>
      </c>
      <c r="I70" s="36">
        <v>94</v>
      </c>
      <c r="J70" s="36">
        <v>0.4</v>
      </c>
    </row>
    <row r="71" spans="1:10" x14ac:dyDescent="0.25">
      <c r="A71" s="41">
        <v>93</v>
      </c>
      <c r="B71" s="36">
        <v>58</v>
      </c>
      <c r="C71" s="36">
        <v>65</v>
      </c>
      <c r="D71" s="36">
        <v>18</v>
      </c>
      <c r="E71" s="36">
        <v>68</v>
      </c>
      <c r="F71" s="36">
        <v>56</v>
      </c>
      <c r="G71" s="36">
        <v>101</v>
      </c>
      <c r="H71" s="36">
        <v>34</v>
      </c>
      <c r="I71" s="36">
        <v>94</v>
      </c>
      <c r="J71" s="36">
        <v>0.4</v>
      </c>
    </row>
    <row r="72" spans="1:10" x14ac:dyDescent="0.25">
      <c r="A72" s="41">
        <v>94</v>
      </c>
      <c r="B72" s="36">
        <v>58</v>
      </c>
      <c r="C72" s="36">
        <v>65</v>
      </c>
      <c r="D72" s="36">
        <v>18</v>
      </c>
      <c r="E72" s="36">
        <v>68</v>
      </c>
      <c r="F72" s="36">
        <v>56</v>
      </c>
      <c r="G72" s="36">
        <v>101</v>
      </c>
      <c r="H72" s="36">
        <v>34</v>
      </c>
      <c r="I72" s="36">
        <v>94</v>
      </c>
      <c r="J72" s="36">
        <v>0.4</v>
      </c>
    </row>
    <row r="73" spans="1:10" x14ac:dyDescent="0.25">
      <c r="A73" s="41">
        <v>95</v>
      </c>
      <c r="B73" s="36">
        <v>58</v>
      </c>
      <c r="C73" s="36">
        <v>65</v>
      </c>
      <c r="D73" s="36">
        <v>18</v>
      </c>
      <c r="E73" s="36">
        <v>68</v>
      </c>
      <c r="F73" s="36">
        <v>56</v>
      </c>
      <c r="G73" s="36">
        <v>101</v>
      </c>
      <c r="H73" s="36">
        <v>34</v>
      </c>
      <c r="I73" s="36">
        <v>94</v>
      </c>
      <c r="J73" s="36">
        <v>0.4</v>
      </c>
    </row>
    <row r="74" spans="1:10" x14ac:dyDescent="0.25">
      <c r="A74" s="41">
        <v>96</v>
      </c>
      <c r="B74" s="36">
        <v>58</v>
      </c>
      <c r="C74" s="36">
        <v>65</v>
      </c>
      <c r="D74" s="36">
        <v>18</v>
      </c>
      <c r="E74" s="36">
        <v>68</v>
      </c>
      <c r="F74" s="36">
        <v>56</v>
      </c>
      <c r="G74" s="36">
        <v>101</v>
      </c>
      <c r="H74" s="36">
        <v>34</v>
      </c>
      <c r="I74" s="36">
        <v>94</v>
      </c>
      <c r="J74" s="36">
        <v>0.4</v>
      </c>
    </row>
    <row r="75" spans="1:10" x14ac:dyDescent="0.25">
      <c r="A75" s="41">
        <v>97</v>
      </c>
      <c r="B75" s="36">
        <v>58</v>
      </c>
      <c r="C75" s="36">
        <v>65</v>
      </c>
      <c r="D75" s="36">
        <v>18</v>
      </c>
      <c r="E75" s="36">
        <v>68</v>
      </c>
      <c r="F75" s="36">
        <v>56</v>
      </c>
      <c r="G75" s="36">
        <v>101</v>
      </c>
      <c r="H75" s="36">
        <v>34</v>
      </c>
      <c r="I75" s="36">
        <v>94</v>
      </c>
      <c r="J75" s="36">
        <v>0.4</v>
      </c>
    </row>
    <row r="76" spans="1:10" x14ac:dyDescent="0.25">
      <c r="A76" s="41">
        <v>98</v>
      </c>
      <c r="B76" s="36">
        <v>58</v>
      </c>
      <c r="C76" s="36">
        <v>65</v>
      </c>
      <c r="D76" s="36">
        <v>18</v>
      </c>
      <c r="E76" s="36">
        <v>68</v>
      </c>
      <c r="F76" s="36">
        <v>56</v>
      </c>
      <c r="G76" s="36">
        <v>101</v>
      </c>
      <c r="H76" s="36">
        <v>34</v>
      </c>
      <c r="I76" s="36">
        <v>94</v>
      </c>
      <c r="J76" s="36">
        <v>0.4</v>
      </c>
    </row>
    <row r="77" spans="1:10" x14ac:dyDescent="0.25">
      <c r="A77" s="41">
        <v>99</v>
      </c>
      <c r="B77" s="36">
        <v>58</v>
      </c>
      <c r="C77" s="36">
        <v>65</v>
      </c>
      <c r="D77" s="36">
        <v>18</v>
      </c>
      <c r="E77" s="36">
        <v>68</v>
      </c>
      <c r="F77" s="36">
        <v>56</v>
      </c>
      <c r="G77" s="36">
        <v>101</v>
      </c>
      <c r="H77" s="36">
        <v>34</v>
      </c>
      <c r="I77" s="36">
        <v>94</v>
      </c>
      <c r="J77" s="36">
        <v>0.4</v>
      </c>
    </row>
    <row r="78" spans="1:10" x14ac:dyDescent="0.25">
      <c r="A78" s="41">
        <v>100</v>
      </c>
      <c r="B78" s="36">
        <v>58</v>
      </c>
      <c r="C78" s="36">
        <v>65</v>
      </c>
      <c r="D78" s="36">
        <v>18</v>
      </c>
      <c r="E78" s="36">
        <v>68</v>
      </c>
      <c r="F78" s="36">
        <v>56</v>
      </c>
      <c r="G78" s="36">
        <v>101</v>
      </c>
      <c r="H78" s="36">
        <v>34</v>
      </c>
      <c r="I78" s="36">
        <v>94</v>
      </c>
      <c r="J78" s="36">
        <v>0.4</v>
      </c>
    </row>
    <row r="79" spans="1:10" x14ac:dyDescent="0.25">
      <c r="A79" s="41">
        <v>101</v>
      </c>
      <c r="B79" s="36">
        <v>58</v>
      </c>
      <c r="C79" s="36">
        <v>65</v>
      </c>
      <c r="D79" s="36">
        <v>18</v>
      </c>
      <c r="E79" s="36">
        <v>68</v>
      </c>
      <c r="F79" s="36">
        <v>56</v>
      </c>
      <c r="G79" s="36">
        <v>101</v>
      </c>
      <c r="H79" s="36">
        <v>34</v>
      </c>
      <c r="I79" s="36">
        <v>94</v>
      </c>
      <c r="J79" s="36">
        <v>0.4</v>
      </c>
    </row>
    <row r="80" spans="1:10" x14ac:dyDescent="0.25">
      <c r="A80" s="41">
        <v>102</v>
      </c>
      <c r="B80" s="36">
        <v>58</v>
      </c>
      <c r="C80" s="36">
        <v>65</v>
      </c>
      <c r="D80" s="36">
        <v>18</v>
      </c>
      <c r="E80" s="36">
        <v>68</v>
      </c>
      <c r="F80" s="36">
        <v>56</v>
      </c>
      <c r="G80" s="36">
        <v>101</v>
      </c>
      <c r="H80" s="36">
        <v>34</v>
      </c>
      <c r="I80" s="36">
        <v>94</v>
      </c>
      <c r="J80" s="36">
        <v>0.4</v>
      </c>
    </row>
    <row r="81" spans="1:10" x14ac:dyDescent="0.25">
      <c r="A81" s="41">
        <v>103</v>
      </c>
      <c r="B81" s="36">
        <v>58</v>
      </c>
      <c r="C81" s="36">
        <v>65</v>
      </c>
      <c r="D81" s="36">
        <v>18</v>
      </c>
      <c r="E81" s="36">
        <v>68</v>
      </c>
      <c r="F81" s="36">
        <v>56</v>
      </c>
      <c r="G81" s="36">
        <v>101</v>
      </c>
      <c r="H81" s="36">
        <v>34</v>
      </c>
      <c r="I81" s="36">
        <v>94</v>
      </c>
      <c r="J81" s="36">
        <v>0.4</v>
      </c>
    </row>
    <row r="82" spans="1:10" x14ac:dyDescent="0.25">
      <c r="A82" s="41">
        <v>104</v>
      </c>
      <c r="B82" s="36">
        <v>58</v>
      </c>
      <c r="C82" s="36">
        <v>65</v>
      </c>
      <c r="D82" s="36">
        <v>18</v>
      </c>
      <c r="E82" s="36">
        <v>68</v>
      </c>
      <c r="F82" s="36">
        <v>56</v>
      </c>
      <c r="G82" s="36">
        <v>101</v>
      </c>
      <c r="H82" s="36">
        <v>34</v>
      </c>
      <c r="I82" s="36">
        <v>94</v>
      </c>
      <c r="J82" s="36">
        <v>0.4</v>
      </c>
    </row>
    <row r="83" spans="1:10" x14ac:dyDescent="0.25">
      <c r="A83" s="41">
        <v>105</v>
      </c>
      <c r="B83" s="36">
        <v>58</v>
      </c>
      <c r="C83" s="36">
        <v>65</v>
      </c>
      <c r="D83" s="36">
        <v>18</v>
      </c>
      <c r="E83" s="36">
        <v>68</v>
      </c>
      <c r="F83" s="36">
        <v>56</v>
      </c>
      <c r="G83" s="36">
        <v>101</v>
      </c>
      <c r="H83" s="36">
        <v>34</v>
      </c>
      <c r="I83" s="36">
        <v>94</v>
      </c>
      <c r="J83" s="36">
        <v>0.4</v>
      </c>
    </row>
    <row r="84" spans="1:10" x14ac:dyDescent="0.25">
      <c r="A84" s="41">
        <v>106</v>
      </c>
      <c r="B84" s="36">
        <v>58</v>
      </c>
      <c r="C84" s="36">
        <v>65</v>
      </c>
      <c r="D84" s="36">
        <v>18</v>
      </c>
      <c r="E84" s="36">
        <v>68</v>
      </c>
      <c r="F84" s="36">
        <v>56</v>
      </c>
      <c r="G84" s="36">
        <v>101</v>
      </c>
      <c r="H84" s="36">
        <v>34</v>
      </c>
      <c r="I84" s="36">
        <v>94</v>
      </c>
      <c r="J84" s="36">
        <v>0.4</v>
      </c>
    </row>
    <row r="85" spans="1:10" x14ac:dyDescent="0.25">
      <c r="A85" s="41">
        <v>107</v>
      </c>
      <c r="B85" s="36">
        <v>58</v>
      </c>
      <c r="C85" s="36">
        <v>65</v>
      </c>
      <c r="D85" s="36">
        <v>18</v>
      </c>
      <c r="E85" s="36">
        <v>68</v>
      </c>
      <c r="F85" s="36">
        <v>56</v>
      </c>
      <c r="G85" s="36">
        <v>101</v>
      </c>
      <c r="H85" s="36">
        <v>34</v>
      </c>
      <c r="I85" s="36">
        <v>94</v>
      </c>
      <c r="J85" s="36">
        <v>0.4</v>
      </c>
    </row>
    <row r="86" spans="1:10" x14ac:dyDescent="0.25">
      <c r="A86" s="41">
        <v>108</v>
      </c>
      <c r="B86" s="36">
        <v>58</v>
      </c>
      <c r="C86" s="36">
        <v>65</v>
      </c>
      <c r="D86" s="36">
        <v>18</v>
      </c>
      <c r="E86" s="36">
        <v>68</v>
      </c>
      <c r="F86" s="36">
        <v>56</v>
      </c>
      <c r="G86" s="36">
        <v>101</v>
      </c>
      <c r="H86" s="36">
        <v>34</v>
      </c>
      <c r="I86" s="36">
        <v>94</v>
      </c>
      <c r="J86" s="36">
        <v>0.4</v>
      </c>
    </row>
    <row r="87" spans="1:10" x14ac:dyDescent="0.25">
      <c r="A87" s="41">
        <v>109</v>
      </c>
      <c r="B87" s="36">
        <v>58</v>
      </c>
      <c r="C87" s="36">
        <v>65</v>
      </c>
      <c r="D87" s="36">
        <v>18</v>
      </c>
      <c r="E87" s="36">
        <v>68</v>
      </c>
      <c r="F87" s="36">
        <v>56</v>
      </c>
      <c r="G87" s="36">
        <v>101</v>
      </c>
      <c r="H87" s="36">
        <v>34</v>
      </c>
      <c r="I87" s="36">
        <v>94</v>
      </c>
      <c r="J87" s="36">
        <v>0.4</v>
      </c>
    </row>
    <row r="88" spans="1:10" x14ac:dyDescent="0.25">
      <c r="A88" s="41">
        <v>110</v>
      </c>
      <c r="B88" s="36">
        <v>58</v>
      </c>
      <c r="C88" s="36">
        <v>65</v>
      </c>
      <c r="D88" s="36">
        <v>18</v>
      </c>
      <c r="E88" s="36">
        <v>68</v>
      </c>
      <c r="F88" s="36">
        <v>56</v>
      </c>
      <c r="G88" s="36">
        <v>101</v>
      </c>
      <c r="H88" s="36">
        <v>34</v>
      </c>
      <c r="I88" s="36">
        <v>94</v>
      </c>
      <c r="J88" s="36">
        <v>0.4</v>
      </c>
    </row>
    <row r="89" spans="1:10" x14ac:dyDescent="0.25">
      <c r="A89" s="41">
        <v>111</v>
      </c>
      <c r="B89" s="36">
        <v>58</v>
      </c>
      <c r="C89" s="36">
        <v>65</v>
      </c>
      <c r="D89" s="36">
        <v>18</v>
      </c>
      <c r="E89" s="36">
        <v>68</v>
      </c>
      <c r="F89" s="36">
        <v>56</v>
      </c>
      <c r="G89" s="36">
        <v>101</v>
      </c>
      <c r="H89" s="36">
        <v>34</v>
      </c>
      <c r="I89" s="36">
        <v>94</v>
      </c>
      <c r="J89" s="36">
        <v>0.4</v>
      </c>
    </row>
    <row r="90" spans="1:10" x14ac:dyDescent="0.25">
      <c r="A90" s="41">
        <v>112</v>
      </c>
      <c r="B90" s="36">
        <v>58</v>
      </c>
      <c r="C90" s="36">
        <v>65</v>
      </c>
      <c r="D90" s="36">
        <v>18</v>
      </c>
      <c r="E90" s="36">
        <v>68</v>
      </c>
      <c r="F90" s="36">
        <v>56</v>
      </c>
      <c r="G90" s="36">
        <v>101</v>
      </c>
      <c r="H90" s="36">
        <v>34</v>
      </c>
      <c r="I90" s="36">
        <v>94</v>
      </c>
      <c r="J90" s="36">
        <v>0.4</v>
      </c>
    </row>
    <row r="91" spans="1:10" x14ac:dyDescent="0.25">
      <c r="A91" s="41">
        <v>113</v>
      </c>
      <c r="B91" s="36">
        <v>58</v>
      </c>
      <c r="C91" s="36">
        <v>65</v>
      </c>
      <c r="D91" s="36">
        <v>18</v>
      </c>
      <c r="E91" s="36">
        <v>68</v>
      </c>
      <c r="F91" s="36">
        <v>56</v>
      </c>
      <c r="G91" s="36">
        <v>101</v>
      </c>
      <c r="H91" s="36">
        <v>34</v>
      </c>
      <c r="I91" s="36">
        <v>94</v>
      </c>
      <c r="J91" s="36">
        <v>0.4</v>
      </c>
    </row>
    <row r="92" spans="1:10" x14ac:dyDescent="0.25">
      <c r="A92" s="41">
        <v>114</v>
      </c>
      <c r="B92" s="36">
        <v>58</v>
      </c>
      <c r="C92" s="36">
        <v>65</v>
      </c>
      <c r="D92" s="36">
        <v>18</v>
      </c>
      <c r="E92" s="36">
        <v>68</v>
      </c>
      <c r="F92" s="36">
        <v>56</v>
      </c>
      <c r="G92" s="36">
        <v>101</v>
      </c>
      <c r="H92" s="36">
        <v>34</v>
      </c>
      <c r="I92" s="36">
        <v>94</v>
      </c>
      <c r="J92" s="36">
        <v>0.4</v>
      </c>
    </row>
    <row r="93" spans="1:10" x14ac:dyDescent="0.25">
      <c r="A93" s="41">
        <v>115</v>
      </c>
      <c r="B93" s="36">
        <v>58</v>
      </c>
      <c r="C93" s="36">
        <v>65</v>
      </c>
      <c r="D93" s="36">
        <v>18</v>
      </c>
      <c r="E93" s="36">
        <v>68</v>
      </c>
      <c r="F93" s="36">
        <v>56</v>
      </c>
      <c r="G93" s="36">
        <v>101</v>
      </c>
      <c r="H93" s="36">
        <v>34</v>
      </c>
      <c r="I93" s="36">
        <v>94</v>
      </c>
      <c r="J93" s="36">
        <v>0.4</v>
      </c>
    </row>
    <row r="94" spans="1:10" x14ac:dyDescent="0.25">
      <c r="A94" s="41">
        <v>116</v>
      </c>
      <c r="B94" s="36">
        <v>58</v>
      </c>
      <c r="C94" s="36">
        <v>65</v>
      </c>
      <c r="D94" s="36">
        <v>18</v>
      </c>
      <c r="E94" s="36">
        <v>68</v>
      </c>
      <c r="F94" s="36">
        <v>56</v>
      </c>
      <c r="G94" s="36">
        <v>101</v>
      </c>
      <c r="H94" s="36">
        <v>34</v>
      </c>
      <c r="I94" s="36">
        <v>94</v>
      </c>
      <c r="J94" s="36">
        <v>0.4</v>
      </c>
    </row>
    <row r="95" spans="1:10" x14ac:dyDescent="0.25">
      <c r="A95" s="41">
        <v>117</v>
      </c>
      <c r="B95" s="36">
        <v>58</v>
      </c>
      <c r="C95" s="36">
        <v>65</v>
      </c>
      <c r="D95" s="36">
        <v>18</v>
      </c>
      <c r="E95" s="36">
        <v>68</v>
      </c>
      <c r="F95" s="36">
        <v>56</v>
      </c>
      <c r="G95" s="36">
        <v>101</v>
      </c>
      <c r="H95" s="36">
        <v>34</v>
      </c>
      <c r="I95" s="36">
        <v>94</v>
      </c>
      <c r="J95" s="36">
        <v>0.4</v>
      </c>
    </row>
    <row r="96" spans="1:10" x14ac:dyDescent="0.25">
      <c r="A96" s="41">
        <v>118</v>
      </c>
      <c r="B96" s="36">
        <v>58</v>
      </c>
      <c r="C96" s="36">
        <v>65</v>
      </c>
      <c r="D96" s="36">
        <v>18</v>
      </c>
      <c r="E96" s="36">
        <v>68</v>
      </c>
      <c r="F96" s="36">
        <v>56</v>
      </c>
      <c r="G96" s="36">
        <v>101</v>
      </c>
      <c r="H96" s="36">
        <v>34</v>
      </c>
      <c r="I96" s="36">
        <v>94</v>
      </c>
      <c r="J96" s="36">
        <v>0.4</v>
      </c>
    </row>
    <row r="97" spans="1:10" x14ac:dyDescent="0.25">
      <c r="A97" s="41">
        <v>119</v>
      </c>
      <c r="B97" s="36">
        <v>58</v>
      </c>
      <c r="C97" s="36">
        <v>65</v>
      </c>
      <c r="D97" s="36">
        <v>18</v>
      </c>
      <c r="E97" s="36">
        <v>68</v>
      </c>
      <c r="F97" s="36">
        <v>56</v>
      </c>
      <c r="G97" s="36">
        <v>101</v>
      </c>
      <c r="H97" s="36">
        <v>34</v>
      </c>
      <c r="I97" s="36">
        <v>94</v>
      </c>
      <c r="J97" s="36">
        <v>0.4</v>
      </c>
    </row>
    <row r="98" spans="1:10" x14ac:dyDescent="0.25">
      <c r="A98" s="41">
        <v>120</v>
      </c>
      <c r="B98" s="36">
        <v>58</v>
      </c>
      <c r="C98" s="36">
        <v>65</v>
      </c>
      <c r="D98" s="36">
        <v>18</v>
      </c>
      <c r="E98" s="36">
        <v>68</v>
      </c>
      <c r="F98" s="36">
        <v>56</v>
      </c>
      <c r="G98" s="36">
        <v>101</v>
      </c>
      <c r="H98" s="36">
        <v>34</v>
      </c>
      <c r="I98" s="36">
        <v>94</v>
      </c>
      <c r="J98" s="36">
        <v>0.4</v>
      </c>
    </row>
    <row r="99" spans="1:10" x14ac:dyDescent="0.25">
      <c r="A99" s="41">
        <v>121</v>
      </c>
      <c r="B99" s="36">
        <v>58</v>
      </c>
      <c r="C99" s="36">
        <v>65</v>
      </c>
      <c r="D99" s="36">
        <v>18</v>
      </c>
      <c r="E99" s="36">
        <v>68</v>
      </c>
      <c r="F99" s="36">
        <v>56</v>
      </c>
      <c r="G99" s="36">
        <v>101</v>
      </c>
      <c r="H99" s="36">
        <v>34</v>
      </c>
      <c r="I99" s="36">
        <v>94</v>
      </c>
      <c r="J99" s="36">
        <v>0.4</v>
      </c>
    </row>
    <row r="100" spans="1:10" x14ac:dyDescent="0.25">
      <c r="A100" s="41">
        <v>122</v>
      </c>
      <c r="B100" s="36">
        <v>58</v>
      </c>
      <c r="C100" s="36">
        <v>65</v>
      </c>
      <c r="D100" s="36">
        <v>18</v>
      </c>
      <c r="E100" s="36">
        <v>68</v>
      </c>
      <c r="F100" s="36">
        <v>56</v>
      </c>
      <c r="G100" s="36">
        <v>101</v>
      </c>
      <c r="H100" s="36">
        <v>34</v>
      </c>
      <c r="I100" s="36">
        <v>94</v>
      </c>
      <c r="J100" s="36">
        <v>0.4</v>
      </c>
    </row>
    <row r="101" spans="1:10" x14ac:dyDescent="0.25">
      <c r="A101" s="41">
        <v>123</v>
      </c>
      <c r="B101" s="36">
        <v>58</v>
      </c>
      <c r="C101" s="36">
        <v>65</v>
      </c>
      <c r="D101" s="36">
        <v>18</v>
      </c>
      <c r="E101" s="36">
        <v>68</v>
      </c>
      <c r="F101" s="36">
        <v>56</v>
      </c>
      <c r="G101" s="36">
        <v>101</v>
      </c>
      <c r="H101" s="36">
        <v>34</v>
      </c>
      <c r="I101" s="36">
        <v>94</v>
      </c>
      <c r="J101" s="36">
        <v>0.4</v>
      </c>
    </row>
    <row r="102" spans="1:10" x14ac:dyDescent="0.25">
      <c r="A102" s="41">
        <v>124</v>
      </c>
      <c r="B102" s="36">
        <v>58</v>
      </c>
      <c r="C102" s="36">
        <v>65</v>
      </c>
      <c r="D102" s="36">
        <v>18</v>
      </c>
      <c r="E102" s="36">
        <v>68</v>
      </c>
      <c r="F102" s="36">
        <v>56</v>
      </c>
      <c r="G102" s="36">
        <v>101</v>
      </c>
      <c r="H102" s="36">
        <v>34</v>
      </c>
      <c r="I102" s="36">
        <v>94</v>
      </c>
      <c r="J102" s="36">
        <v>0.4</v>
      </c>
    </row>
    <row r="103" spans="1:10" x14ac:dyDescent="0.25">
      <c r="A103" s="41">
        <v>125</v>
      </c>
      <c r="B103" s="36">
        <v>58</v>
      </c>
      <c r="C103" s="36">
        <v>65</v>
      </c>
      <c r="D103" s="36">
        <v>18</v>
      </c>
      <c r="E103" s="36">
        <v>68</v>
      </c>
      <c r="F103" s="36">
        <v>56</v>
      </c>
      <c r="G103" s="36">
        <v>101</v>
      </c>
      <c r="H103" s="36">
        <v>34</v>
      </c>
      <c r="I103" s="36">
        <v>94</v>
      </c>
      <c r="J103" s="36">
        <v>0.4</v>
      </c>
    </row>
    <row r="104" spans="1:10" x14ac:dyDescent="0.25">
      <c r="A104" s="41">
        <v>126</v>
      </c>
      <c r="B104" s="36">
        <v>58</v>
      </c>
      <c r="C104" s="36">
        <v>65</v>
      </c>
      <c r="D104" s="36">
        <v>18</v>
      </c>
      <c r="E104" s="36">
        <v>68</v>
      </c>
      <c r="F104" s="36">
        <v>56</v>
      </c>
      <c r="G104" s="36">
        <v>101</v>
      </c>
      <c r="H104" s="36">
        <v>34</v>
      </c>
      <c r="I104" s="36">
        <v>94</v>
      </c>
      <c r="J104" s="36">
        <v>0.4</v>
      </c>
    </row>
    <row r="105" spans="1:10" x14ac:dyDescent="0.25">
      <c r="A105" s="41">
        <v>127</v>
      </c>
      <c r="B105" s="36">
        <v>58</v>
      </c>
      <c r="C105" s="36">
        <v>65</v>
      </c>
      <c r="D105" s="36">
        <v>18</v>
      </c>
      <c r="E105" s="36">
        <v>68</v>
      </c>
      <c r="F105" s="36">
        <v>56</v>
      </c>
      <c r="G105" s="36">
        <v>101</v>
      </c>
      <c r="H105" s="36">
        <v>34</v>
      </c>
      <c r="I105" s="36">
        <v>94</v>
      </c>
      <c r="J105" s="36">
        <v>0.4</v>
      </c>
    </row>
    <row r="106" spans="1:10" x14ac:dyDescent="0.25">
      <c r="A106" s="41">
        <v>128</v>
      </c>
      <c r="B106" s="36">
        <v>58</v>
      </c>
      <c r="C106" s="36">
        <v>65</v>
      </c>
      <c r="D106" s="36">
        <v>18</v>
      </c>
      <c r="E106" s="36">
        <v>68</v>
      </c>
      <c r="F106" s="36">
        <v>56</v>
      </c>
      <c r="G106" s="36">
        <v>101</v>
      </c>
      <c r="H106" s="36">
        <v>34</v>
      </c>
      <c r="I106" s="36">
        <v>94</v>
      </c>
      <c r="J106" s="36">
        <v>0.4</v>
      </c>
    </row>
    <row r="107" spans="1:10" x14ac:dyDescent="0.25">
      <c r="A107" s="41">
        <v>129</v>
      </c>
      <c r="B107" s="36">
        <v>58</v>
      </c>
      <c r="C107" s="36">
        <v>65</v>
      </c>
      <c r="D107" s="36">
        <v>18</v>
      </c>
      <c r="E107" s="36">
        <v>68</v>
      </c>
      <c r="F107" s="36">
        <v>56</v>
      </c>
      <c r="G107" s="36">
        <v>101</v>
      </c>
      <c r="H107" s="36">
        <v>34</v>
      </c>
      <c r="I107" s="36">
        <v>94</v>
      </c>
      <c r="J107" s="36">
        <v>0.4</v>
      </c>
    </row>
    <row r="108" spans="1:10" x14ac:dyDescent="0.25">
      <c r="A108" s="41">
        <v>130</v>
      </c>
      <c r="B108" s="36">
        <v>58</v>
      </c>
      <c r="C108" s="36">
        <v>65</v>
      </c>
      <c r="D108" s="36">
        <v>18</v>
      </c>
      <c r="E108" s="36">
        <v>68</v>
      </c>
      <c r="F108" s="36">
        <v>56</v>
      </c>
      <c r="G108" s="36">
        <v>101</v>
      </c>
      <c r="H108" s="36">
        <v>34</v>
      </c>
      <c r="I108" s="36">
        <v>94</v>
      </c>
      <c r="J108" s="36">
        <v>0.35</v>
      </c>
    </row>
    <row r="109" spans="1:10" x14ac:dyDescent="0.25">
      <c r="A109" s="41">
        <v>131</v>
      </c>
      <c r="B109" s="36">
        <v>58</v>
      </c>
      <c r="C109" s="36">
        <v>65</v>
      </c>
      <c r="D109" s="36">
        <v>18</v>
      </c>
      <c r="E109" s="36">
        <v>68</v>
      </c>
      <c r="F109" s="36">
        <v>56</v>
      </c>
      <c r="G109" s="36">
        <v>101</v>
      </c>
      <c r="H109" s="36">
        <v>34</v>
      </c>
      <c r="I109" s="36">
        <v>94</v>
      </c>
      <c r="J109" s="36">
        <v>0.35</v>
      </c>
    </row>
    <row r="110" spans="1:10" x14ac:dyDescent="0.25">
      <c r="A110" s="41">
        <v>132</v>
      </c>
      <c r="B110" s="36">
        <v>58</v>
      </c>
      <c r="C110" s="36">
        <v>65</v>
      </c>
      <c r="D110" s="36">
        <v>18</v>
      </c>
      <c r="E110" s="36">
        <v>68</v>
      </c>
      <c r="F110" s="36">
        <v>56</v>
      </c>
      <c r="G110" s="36">
        <v>101</v>
      </c>
      <c r="H110" s="36">
        <v>34</v>
      </c>
      <c r="I110" s="36">
        <v>94</v>
      </c>
      <c r="J110" s="36">
        <v>0.35</v>
      </c>
    </row>
    <row r="111" spans="1:10" x14ac:dyDescent="0.25">
      <c r="A111" s="41">
        <v>133</v>
      </c>
      <c r="B111" s="36">
        <v>58</v>
      </c>
      <c r="C111" s="36">
        <v>65</v>
      </c>
      <c r="D111" s="36">
        <v>18</v>
      </c>
      <c r="E111" s="36">
        <v>68</v>
      </c>
      <c r="F111" s="36">
        <v>56</v>
      </c>
      <c r="G111" s="36">
        <v>101</v>
      </c>
      <c r="H111" s="36">
        <v>34</v>
      </c>
      <c r="I111" s="36">
        <v>94</v>
      </c>
      <c r="J111" s="36">
        <v>0.35</v>
      </c>
    </row>
    <row r="112" spans="1:10" x14ac:dyDescent="0.25">
      <c r="A112" s="41">
        <v>134</v>
      </c>
      <c r="B112" s="36">
        <v>58</v>
      </c>
      <c r="C112" s="36">
        <v>65</v>
      </c>
      <c r="D112" s="36">
        <v>18</v>
      </c>
      <c r="E112" s="36">
        <v>68</v>
      </c>
      <c r="F112" s="36">
        <v>56</v>
      </c>
      <c r="G112" s="36">
        <v>101</v>
      </c>
      <c r="H112" s="36">
        <v>34</v>
      </c>
      <c r="I112" s="36">
        <v>94</v>
      </c>
      <c r="J112" s="36">
        <v>0.35</v>
      </c>
    </row>
    <row r="113" spans="1:10" x14ac:dyDescent="0.25">
      <c r="A113" s="41">
        <v>135</v>
      </c>
      <c r="B113" s="36">
        <v>58</v>
      </c>
      <c r="C113" s="36">
        <v>65</v>
      </c>
      <c r="D113" s="36">
        <v>18</v>
      </c>
      <c r="E113" s="36">
        <v>68</v>
      </c>
      <c r="F113" s="36">
        <v>56</v>
      </c>
      <c r="G113" s="36">
        <v>101</v>
      </c>
      <c r="H113" s="36">
        <v>34</v>
      </c>
      <c r="I113" s="36">
        <v>94</v>
      </c>
      <c r="J113" s="36">
        <v>0.35</v>
      </c>
    </row>
    <row r="114" spans="1:10" x14ac:dyDescent="0.25">
      <c r="A114" s="41">
        <v>136</v>
      </c>
      <c r="B114" s="36">
        <v>58</v>
      </c>
      <c r="C114" s="36">
        <v>65</v>
      </c>
      <c r="D114" s="36">
        <v>18</v>
      </c>
      <c r="E114" s="36">
        <v>68</v>
      </c>
      <c r="F114" s="36">
        <v>56</v>
      </c>
      <c r="G114" s="36">
        <v>101</v>
      </c>
      <c r="H114" s="36">
        <v>34</v>
      </c>
      <c r="I114" s="36">
        <v>94</v>
      </c>
      <c r="J114" s="36">
        <v>0.35</v>
      </c>
    </row>
    <row r="115" spans="1:10" x14ac:dyDescent="0.25">
      <c r="A115" s="41">
        <v>137</v>
      </c>
      <c r="B115" s="36">
        <v>58</v>
      </c>
      <c r="C115" s="36">
        <v>65</v>
      </c>
      <c r="D115" s="36">
        <v>18</v>
      </c>
      <c r="E115" s="36">
        <v>68</v>
      </c>
      <c r="F115" s="36">
        <v>56</v>
      </c>
      <c r="G115" s="36">
        <v>101</v>
      </c>
      <c r="H115" s="36">
        <v>34</v>
      </c>
      <c r="I115" s="36">
        <v>94</v>
      </c>
      <c r="J115" s="36">
        <v>0.35</v>
      </c>
    </row>
    <row r="116" spans="1:10" x14ac:dyDescent="0.25">
      <c r="A116" s="41">
        <v>138</v>
      </c>
      <c r="B116" s="36">
        <v>58</v>
      </c>
      <c r="C116" s="36">
        <v>65</v>
      </c>
      <c r="D116" s="36">
        <v>18</v>
      </c>
      <c r="E116" s="36">
        <v>68</v>
      </c>
      <c r="F116" s="36">
        <v>56</v>
      </c>
      <c r="G116" s="36">
        <v>101</v>
      </c>
      <c r="H116" s="36">
        <v>34</v>
      </c>
      <c r="I116" s="36">
        <v>94</v>
      </c>
      <c r="J116" s="36">
        <v>0.35</v>
      </c>
    </row>
    <row r="117" spans="1:10" x14ac:dyDescent="0.25">
      <c r="A117" s="41">
        <v>139</v>
      </c>
      <c r="B117" s="36">
        <v>58</v>
      </c>
      <c r="C117" s="36">
        <v>65</v>
      </c>
      <c r="D117" s="36">
        <v>18</v>
      </c>
      <c r="E117" s="36">
        <v>68</v>
      </c>
      <c r="F117" s="36">
        <v>56</v>
      </c>
      <c r="G117" s="36">
        <v>101</v>
      </c>
      <c r="H117" s="36">
        <v>34</v>
      </c>
      <c r="I117" s="36">
        <v>94</v>
      </c>
      <c r="J117" s="36">
        <v>0.35</v>
      </c>
    </row>
    <row r="118" spans="1:10" x14ac:dyDescent="0.25">
      <c r="A118" s="41">
        <v>140</v>
      </c>
      <c r="B118" s="36">
        <v>58</v>
      </c>
      <c r="C118" s="36">
        <v>65</v>
      </c>
      <c r="D118" s="36">
        <v>18</v>
      </c>
      <c r="E118" s="36">
        <v>68</v>
      </c>
      <c r="F118" s="36">
        <v>56</v>
      </c>
      <c r="G118" s="36">
        <v>101</v>
      </c>
      <c r="H118" s="36">
        <v>34</v>
      </c>
      <c r="I118" s="36">
        <v>94</v>
      </c>
      <c r="J118" s="36">
        <v>0.35</v>
      </c>
    </row>
    <row r="119" spans="1:10" x14ac:dyDescent="0.25">
      <c r="A119" s="41">
        <v>141</v>
      </c>
      <c r="B119" s="36">
        <v>58</v>
      </c>
      <c r="C119" s="36">
        <v>65</v>
      </c>
      <c r="D119" s="36">
        <v>18</v>
      </c>
      <c r="E119" s="36">
        <v>68</v>
      </c>
      <c r="F119" s="36">
        <v>56</v>
      </c>
      <c r="G119" s="36">
        <v>101</v>
      </c>
      <c r="H119" s="36">
        <v>34</v>
      </c>
      <c r="I119" s="36">
        <v>94</v>
      </c>
      <c r="J119" s="36">
        <v>0.35</v>
      </c>
    </row>
    <row r="120" spans="1:10" x14ac:dyDescent="0.25">
      <c r="A120" s="41">
        <v>142</v>
      </c>
      <c r="B120" s="36">
        <v>58</v>
      </c>
      <c r="C120" s="36">
        <v>65</v>
      </c>
      <c r="D120" s="36">
        <v>18</v>
      </c>
      <c r="E120" s="36">
        <v>68</v>
      </c>
      <c r="F120" s="36">
        <v>56</v>
      </c>
      <c r="G120" s="36">
        <v>101</v>
      </c>
      <c r="H120" s="36">
        <v>34</v>
      </c>
      <c r="I120" s="36">
        <v>94</v>
      </c>
      <c r="J120" s="36">
        <v>0.35</v>
      </c>
    </row>
    <row r="121" spans="1:10" x14ac:dyDescent="0.25">
      <c r="A121" s="41">
        <v>143</v>
      </c>
      <c r="B121" s="36">
        <v>58</v>
      </c>
      <c r="C121" s="36">
        <v>65</v>
      </c>
      <c r="D121" s="36">
        <v>18</v>
      </c>
      <c r="E121" s="36">
        <v>68</v>
      </c>
      <c r="F121" s="36">
        <v>56</v>
      </c>
      <c r="G121" s="36">
        <v>101</v>
      </c>
      <c r="H121" s="36">
        <v>34</v>
      </c>
      <c r="I121" s="36">
        <v>94</v>
      </c>
      <c r="J121" s="36">
        <v>0.35</v>
      </c>
    </row>
    <row r="122" spans="1:10" x14ac:dyDescent="0.25">
      <c r="A122" s="41">
        <v>144</v>
      </c>
      <c r="B122" s="36">
        <v>58</v>
      </c>
      <c r="C122" s="36">
        <v>65</v>
      </c>
      <c r="D122" s="36">
        <v>18</v>
      </c>
      <c r="E122" s="36">
        <v>68</v>
      </c>
      <c r="F122" s="36">
        <v>56</v>
      </c>
      <c r="G122" s="36">
        <v>101</v>
      </c>
      <c r="H122" s="36">
        <v>34</v>
      </c>
      <c r="I122" s="36">
        <v>94</v>
      </c>
      <c r="J122" s="36">
        <v>0.35</v>
      </c>
    </row>
    <row r="123" spans="1:10" x14ac:dyDescent="0.25">
      <c r="A123" s="41">
        <v>145</v>
      </c>
      <c r="B123" s="36">
        <v>58</v>
      </c>
      <c r="C123" s="36">
        <v>65</v>
      </c>
      <c r="D123" s="36">
        <v>18</v>
      </c>
      <c r="E123" s="36">
        <v>68</v>
      </c>
      <c r="F123" s="36">
        <v>56</v>
      </c>
      <c r="G123" s="36">
        <v>101</v>
      </c>
      <c r="H123" s="36">
        <v>34</v>
      </c>
      <c r="I123" s="36">
        <v>94</v>
      </c>
      <c r="J123" s="36">
        <v>0.35</v>
      </c>
    </row>
    <row r="124" spans="1:10" x14ac:dyDescent="0.25">
      <c r="A124" s="41">
        <v>146</v>
      </c>
      <c r="B124" s="36">
        <v>58</v>
      </c>
      <c r="C124" s="36">
        <v>65</v>
      </c>
      <c r="D124" s="36">
        <v>18</v>
      </c>
      <c r="E124" s="36">
        <v>68</v>
      </c>
      <c r="F124" s="36">
        <v>56</v>
      </c>
      <c r="G124" s="36">
        <v>101</v>
      </c>
      <c r="H124" s="36">
        <v>34</v>
      </c>
      <c r="I124" s="36">
        <v>94</v>
      </c>
      <c r="J124" s="36">
        <v>0.35</v>
      </c>
    </row>
    <row r="125" spans="1:10" x14ac:dyDescent="0.25">
      <c r="A125" s="41">
        <v>147</v>
      </c>
      <c r="B125" s="36">
        <v>58</v>
      </c>
      <c r="C125" s="36">
        <v>65</v>
      </c>
      <c r="D125" s="36">
        <v>18</v>
      </c>
      <c r="E125" s="36">
        <v>68</v>
      </c>
      <c r="F125" s="36">
        <v>56</v>
      </c>
      <c r="G125" s="36">
        <v>101</v>
      </c>
      <c r="H125" s="36">
        <v>34</v>
      </c>
      <c r="I125" s="36">
        <v>94</v>
      </c>
      <c r="J125" s="36">
        <v>0.35</v>
      </c>
    </row>
    <row r="126" spans="1:10" x14ac:dyDescent="0.25">
      <c r="A126" s="41">
        <v>148</v>
      </c>
      <c r="B126" s="36">
        <v>58</v>
      </c>
      <c r="C126" s="36">
        <v>65</v>
      </c>
      <c r="D126" s="36">
        <v>18</v>
      </c>
      <c r="E126" s="36">
        <v>68</v>
      </c>
      <c r="F126" s="36">
        <v>56</v>
      </c>
      <c r="G126" s="36">
        <v>101</v>
      </c>
      <c r="H126" s="36">
        <v>34</v>
      </c>
      <c r="I126" s="36">
        <v>94</v>
      </c>
      <c r="J126" s="36">
        <v>0.35</v>
      </c>
    </row>
    <row r="127" spans="1:10" x14ac:dyDescent="0.25">
      <c r="A127" s="41">
        <v>149</v>
      </c>
      <c r="B127" s="36">
        <v>58</v>
      </c>
      <c r="C127" s="36">
        <v>65</v>
      </c>
      <c r="D127" s="36">
        <v>18</v>
      </c>
      <c r="E127" s="36">
        <v>68</v>
      </c>
      <c r="F127" s="36">
        <v>56</v>
      </c>
      <c r="G127" s="36">
        <v>101</v>
      </c>
      <c r="H127" s="36">
        <v>34</v>
      </c>
      <c r="I127" s="36">
        <v>94</v>
      </c>
      <c r="J127" s="36">
        <v>0.35</v>
      </c>
    </row>
    <row r="128" spans="1:10" x14ac:dyDescent="0.25">
      <c r="A128" s="41">
        <v>150</v>
      </c>
      <c r="B128" s="36">
        <v>58</v>
      </c>
      <c r="C128" s="36">
        <v>65</v>
      </c>
      <c r="D128" s="36">
        <v>18</v>
      </c>
      <c r="E128" s="36">
        <v>68</v>
      </c>
      <c r="F128" s="36">
        <v>56</v>
      </c>
      <c r="G128" s="36">
        <v>101</v>
      </c>
      <c r="H128" s="36">
        <v>34</v>
      </c>
      <c r="I128" s="36">
        <v>94</v>
      </c>
      <c r="J128" s="36">
        <v>0.35</v>
      </c>
    </row>
    <row r="129" spans="1:10" x14ac:dyDescent="0.25">
      <c r="A129" s="41">
        <v>151</v>
      </c>
      <c r="B129" s="36">
        <v>58</v>
      </c>
      <c r="C129" s="36">
        <v>65</v>
      </c>
      <c r="D129" s="36">
        <v>18</v>
      </c>
      <c r="E129" s="36">
        <v>68</v>
      </c>
      <c r="F129" s="36">
        <v>56</v>
      </c>
      <c r="G129" s="36">
        <v>101</v>
      </c>
      <c r="H129" s="36">
        <v>34</v>
      </c>
      <c r="I129" s="36">
        <v>94</v>
      </c>
      <c r="J129" s="36">
        <v>0.35</v>
      </c>
    </row>
    <row r="130" spans="1:10" x14ac:dyDescent="0.25">
      <c r="A130" s="41">
        <v>152</v>
      </c>
      <c r="B130" s="36">
        <v>58</v>
      </c>
      <c r="C130" s="36">
        <v>65</v>
      </c>
      <c r="D130" s="36">
        <v>18</v>
      </c>
      <c r="E130" s="36">
        <v>68</v>
      </c>
      <c r="F130" s="36">
        <v>56</v>
      </c>
      <c r="G130" s="36">
        <v>101</v>
      </c>
      <c r="H130" s="36">
        <v>34</v>
      </c>
      <c r="I130" s="36">
        <v>94</v>
      </c>
      <c r="J130" s="36">
        <v>0.35</v>
      </c>
    </row>
    <row r="131" spans="1:10" x14ac:dyDescent="0.25">
      <c r="A131" s="41">
        <v>153</v>
      </c>
      <c r="B131" s="36">
        <v>58</v>
      </c>
      <c r="C131" s="36">
        <v>65</v>
      </c>
      <c r="D131" s="36">
        <v>18</v>
      </c>
      <c r="E131" s="36">
        <v>68</v>
      </c>
      <c r="F131" s="36">
        <v>56</v>
      </c>
      <c r="G131" s="36">
        <v>101</v>
      </c>
      <c r="H131" s="36">
        <v>34</v>
      </c>
      <c r="I131" s="36">
        <v>94</v>
      </c>
      <c r="J131" s="36">
        <v>0.35</v>
      </c>
    </row>
    <row r="132" spans="1:10" x14ac:dyDescent="0.25">
      <c r="A132" s="41">
        <v>154</v>
      </c>
      <c r="B132" s="36">
        <v>58</v>
      </c>
      <c r="C132" s="36">
        <v>65</v>
      </c>
      <c r="D132" s="36">
        <v>18</v>
      </c>
      <c r="E132" s="36">
        <v>68</v>
      </c>
      <c r="F132" s="36">
        <v>56</v>
      </c>
      <c r="G132" s="36">
        <v>101</v>
      </c>
      <c r="H132" s="36">
        <v>34</v>
      </c>
      <c r="I132" s="36">
        <v>94</v>
      </c>
      <c r="J132" s="36">
        <v>0.35</v>
      </c>
    </row>
    <row r="133" spans="1:10" x14ac:dyDescent="0.25">
      <c r="A133" s="41">
        <v>155</v>
      </c>
      <c r="B133" s="36">
        <v>58</v>
      </c>
      <c r="C133" s="36">
        <v>65</v>
      </c>
      <c r="D133" s="36">
        <v>18</v>
      </c>
      <c r="E133" s="36">
        <v>68</v>
      </c>
      <c r="F133" s="36">
        <v>56</v>
      </c>
      <c r="G133" s="36">
        <v>101</v>
      </c>
      <c r="H133" s="36">
        <v>34</v>
      </c>
      <c r="I133" s="36">
        <v>94</v>
      </c>
      <c r="J133" s="36">
        <v>0.35</v>
      </c>
    </row>
    <row r="134" spans="1:10" x14ac:dyDescent="0.25">
      <c r="A134" s="41">
        <v>156</v>
      </c>
      <c r="B134" s="36">
        <v>58</v>
      </c>
      <c r="C134" s="36">
        <v>65</v>
      </c>
      <c r="D134" s="36">
        <v>18</v>
      </c>
      <c r="E134" s="36">
        <v>68</v>
      </c>
      <c r="F134" s="36">
        <v>56</v>
      </c>
      <c r="G134" s="36">
        <v>101</v>
      </c>
      <c r="H134" s="36">
        <v>34</v>
      </c>
      <c r="I134" s="36">
        <v>94</v>
      </c>
      <c r="J134" s="36">
        <v>0.35</v>
      </c>
    </row>
    <row r="135" spans="1:10" x14ac:dyDescent="0.25">
      <c r="A135" s="41">
        <v>157</v>
      </c>
      <c r="B135" s="36">
        <v>58</v>
      </c>
      <c r="C135" s="36">
        <v>65</v>
      </c>
      <c r="D135" s="36">
        <v>18</v>
      </c>
      <c r="E135" s="36">
        <v>68</v>
      </c>
      <c r="F135" s="36">
        <v>56</v>
      </c>
      <c r="G135" s="36">
        <v>101</v>
      </c>
      <c r="H135" s="36">
        <v>34</v>
      </c>
      <c r="I135" s="36">
        <v>94</v>
      </c>
      <c r="J135" s="36">
        <v>0.35</v>
      </c>
    </row>
    <row r="136" spans="1:10" x14ac:dyDescent="0.25">
      <c r="A136" s="41">
        <v>158</v>
      </c>
      <c r="B136" s="36">
        <v>58</v>
      </c>
      <c r="C136" s="36">
        <v>65</v>
      </c>
      <c r="D136" s="36">
        <v>18</v>
      </c>
      <c r="E136" s="36">
        <v>68</v>
      </c>
      <c r="F136" s="36">
        <v>56</v>
      </c>
      <c r="G136" s="36">
        <v>101</v>
      </c>
      <c r="H136" s="36">
        <v>34</v>
      </c>
      <c r="I136" s="36">
        <v>94</v>
      </c>
      <c r="J136" s="36">
        <v>0.35</v>
      </c>
    </row>
    <row r="137" spans="1:10" x14ac:dyDescent="0.25">
      <c r="A137" s="41">
        <v>159</v>
      </c>
      <c r="B137" s="36">
        <v>58</v>
      </c>
      <c r="C137" s="36">
        <v>65</v>
      </c>
      <c r="D137" s="36">
        <v>18</v>
      </c>
      <c r="E137" s="36">
        <v>68</v>
      </c>
      <c r="F137" s="36">
        <v>56</v>
      </c>
      <c r="G137" s="36">
        <v>101</v>
      </c>
      <c r="H137" s="36">
        <v>34</v>
      </c>
      <c r="I137" s="36">
        <v>94</v>
      </c>
      <c r="J137" s="36">
        <v>0.35</v>
      </c>
    </row>
    <row r="138" spans="1:10" x14ac:dyDescent="0.25">
      <c r="A138" s="41">
        <v>160</v>
      </c>
      <c r="B138" s="36">
        <v>58</v>
      </c>
      <c r="C138" s="36">
        <v>65</v>
      </c>
      <c r="D138" s="36">
        <v>18</v>
      </c>
      <c r="E138" s="36">
        <v>68</v>
      </c>
      <c r="F138" s="36">
        <v>56</v>
      </c>
      <c r="G138" s="36">
        <v>101</v>
      </c>
      <c r="H138" s="36">
        <v>34</v>
      </c>
      <c r="I138" s="36">
        <v>94</v>
      </c>
      <c r="J138" s="36">
        <v>0.35</v>
      </c>
    </row>
    <row r="139" spans="1:10" x14ac:dyDescent="0.25">
      <c r="A139" s="41">
        <v>161</v>
      </c>
      <c r="B139" s="36">
        <v>58</v>
      </c>
      <c r="C139" s="36">
        <v>65</v>
      </c>
      <c r="D139" s="36">
        <v>18</v>
      </c>
      <c r="E139" s="36">
        <v>68</v>
      </c>
      <c r="F139" s="36">
        <v>56</v>
      </c>
      <c r="G139" s="36">
        <v>101</v>
      </c>
      <c r="H139" s="36">
        <v>34</v>
      </c>
      <c r="I139" s="36">
        <v>94</v>
      </c>
      <c r="J139" s="36">
        <v>0.35</v>
      </c>
    </row>
    <row r="140" spans="1:10" x14ac:dyDescent="0.25">
      <c r="A140" s="41">
        <v>162</v>
      </c>
      <c r="B140" s="36">
        <v>58</v>
      </c>
      <c r="C140" s="36">
        <v>65</v>
      </c>
      <c r="D140" s="36">
        <v>18</v>
      </c>
      <c r="E140" s="36">
        <v>68</v>
      </c>
      <c r="F140" s="36">
        <v>56</v>
      </c>
      <c r="G140" s="36">
        <v>101</v>
      </c>
      <c r="H140" s="36">
        <v>34</v>
      </c>
      <c r="I140" s="36">
        <v>94</v>
      </c>
      <c r="J140" s="36">
        <v>0.35</v>
      </c>
    </row>
    <row r="141" spans="1:10" x14ac:dyDescent="0.25">
      <c r="A141" s="41">
        <v>163</v>
      </c>
      <c r="B141" s="36">
        <v>58</v>
      </c>
      <c r="C141" s="36">
        <v>65</v>
      </c>
      <c r="D141" s="36">
        <v>18</v>
      </c>
      <c r="E141" s="36">
        <v>68</v>
      </c>
      <c r="F141" s="36">
        <v>56</v>
      </c>
      <c r="G141" s="36">
        <v>101</v>
      </c>
      <c r="H141" s="36">
        <v>34</v>
      </c>
      <c r="I141" s="36">
        <v>94</v>
      </c>
      <c r="J141" s="36">
        <v>0.35</v>
      </c>
    </row>
    <row r="142" spans="1:10" x14ac:dyDescent="0.25">
      <c r="A142" s="41">
        <v>164</v>
      </c>
      <c r="B142" s="36">
        <v>58</v>
      </c>
      <c r="C142" s="36">
        <v>65</v>
      </c>
      <c r="D142" s="36">
        <v>18</v>
      </c>
      <c r="E142" s="36">
        <v>68</v>
      </c>
      <c r="F142" s="36">
        <v>56</v>
      </c>
      <c r="G142" s="36">
        <v>101</v>
      </c>
      <c r="H142" s="36">
        <v>34</v>
      </c>
      <c r="I142" s="36">
        <v>94</v>
      </c>
      <c r="J142" s="36">
        <v>0.35</v>
      </c>
    </row>
    <row r="143" spans="1:10" x14ac:dyDescent="0.25">
      <c r="A143" s="41">
        <v>165</v>
      </c>
      <c r="B143" s="36">
        <v>58</v>
      </c>
      <c r="C143" s="36">
        <v>65</v>
      </c>
      <c r="D143" s="36">
        <v>18</v>
      </c>
      <c r="E143" s="36">
        <v>68</v>
      </c>
      <c r="F143" s="36">
        <v>56</v>
      </c>
      <c r="G143" s="36">
        <v>101</v>
      </c>
      <c r="H143" s="36">
        <v>34</v>
      </c>
      <c r="I143" s="36">
        <v>94</v>
      </c>
      <c r="J143" s="36">
        <v>0.35</v>
      </c>
    </row>
    <row r="144" spans="1:10" x14ac:dyDescent="0.25">
      <c r="A144" s="41">
        <v>166</v>
      </c>
      <c r="B144" s="36">
        <v>58</v>
      </c>
      <c r="C144" s="36">
        <v>65</v>
      </c>
      <c r="D144" s="36">
        <v>18</v>
      </c>
      <c r="E144" s="36">
        <v>68</v>
      </c>
      <c r="F144" s="36">
        <v>56</v>
      </c>
      <c r="G144" s="36">
        <v>101</v>
      </c>
      <c r="H144" s="36">
        <v>34</v>
      </c>
      <c r="I144" s="36">
        <v>94</v>
      </c>
      <c r="J144" s="36">
        <v>0.35</v>
      </c>
    </row>
    <row r="145" spans="1:10" x14ac:dyDescent="0.25">
      <c r="A145" s="41">
        <v>167</v>
      </c>
      <c r="B145" s="36">
        <v>58</v>
      </c>
      <c r="C145" s="36">
        <v>65</v>
      </c>
      <c r="D145" s="36">
        <v>18</v>
      </c>
      <c r="E145" s="36">
        <v>68</v>
      </c>
      <c r="F145" s="36">
        <v>56</v>
      </c>
      <c r="G145" s="36">
        <v>101</v>
      </c>
      <c r="H145" s="36">
        <v>34</v>
      </c>
      <c r="I145" s="36">
        <v>94</v>
      </c>
      <c r="J145" s="36">
        <v>0.35</v>
      </c>
    </row>
    <row r="146" spans="1:10" x14ac:dyDescent="0.25">
      <c r="A146" s="41">
        <v>168</v>
      </c>
      <c r="B146" s="36">
        <v>58</v>
      </c>
      <c r="C146" s="36">
        <v>65</v>
      </c>
      <c r="D146" s="36">
        <v>18</v>
      </c>
      <c r="E146" s="36">
        <v>68</v>
      </c>
      <c r="F146" s="36">
        <v>56</v>
      </c>
      <c r="G146" s="36">
        <v>101</v>
      </c>
      <c r="H146" s="36">
        <v>34</v>
      </c>
      <c r="I146" s="36">
        <v>94</v>
      </c>
      <c r="J146" s="36">
        <v>0.35</v>
      </c>
    </row>
    <row r="147" spans="1:10" x14ac:dyDescent="0.25">
      <c r="A147" s="41">
        <v>169</v>
      </c>
      <c r="B147" s="36">
        <v>58</v>
      </c>
      <c r="C147" s="36">
        <v>65</v>
      </c>
      <c r="D147" s="36">
        <v>18</v>
      </c>
      <c r="E147" s="36">
        <v>68</v>
      </c>
      <c r="F147" s="36">
        <v>56</v>
      </c>
      <c r="G147" s="36">
        <v>101</v>
      </c>
      <c r="H147" s="36">
        <v>34</v>
      </c>
      <c r="I147" s="36">
        <v>94</v>
      </c>
      <c r="J147" s="36">
        <v>0.35</v>
      </c>
    </row>
    <row r="148" spans="1:10" x14ac:dyDescent="0.25">
      <c r="A148" s="41">
        <v>170</v>
      </c>
      <c r="B148" s="36">
        <v>58</v>
      </c>
      <c r="C148" s="36">
        <v>65</v>
      </c>
      <c r="D148" s="36">
        <v>18</v>
      </c>
      <c r="E148" s="36">
        <v>68</v>
      </c>
      <c r="F148" s="36">
        <v>56</v>
      </c>
      <c r="G148" s="36">
        <v>101</v>
      </c>
      <c r="H148" s="36">
        <v>34</v>
      </c>
      <c r="I148" s="36">
        <v>94</v>
      </c>
      <c r="J148" s="36">
        <v>0.35</v>
      </c>
    </row>
    <row r="149" spans="1:10" x14ac:dyDescent="0.25">
      <c r="A149" s="41">
        <v>171</v>
      </c>
      <c r="B149" s="36">
        <v>58</v>
      </c>
      <c r="C149" s="36">
        <v>65</v>
      </c>
      <c r="D149" s="36">
        <v>18</v>
      </c>
      <c r="E149" s="36">
        <v>68</v>
      </c>
      <c r="F149" s="36">
        <v>56</v>
      </c>
      <c r="G149" s="36">
        <v>101</v>
      </c>
      <c r="H149" s="36">
        <v>34</v>
      </c>
      <c r="I149" s="36">
        <v>94</v>
      </c>
      <c r="J149" s="36">
        <v>0.35</v>
      </c>
    </row>
    <row r="150" spans="1:10" x14ac:dyDescent="0.25">
      <c r="A150" s="41">
        <v>172</v>
      </c>
      <c r="B150" s="36">
        <v>58</v>
      </c>
      <c r="C150" s="36">
        <v>65</v>
      </c>
      <c r="D150" s="36">
        <v>18</v>
      </c>
      <c r="E150" s="36">
        <v>68</v>
      </c>
      <c r="F150" s="36">
        <v>56</v>
      </c>
      <c r="G150" s="36">
        <v>101</v>
      </c>
      <c r="H150" s="36">
        <v>34</v>
      </c>
      <c r="I150" s="36">
        <v>94</v>
      </c>
      <c r="J150" s="36">
        <v>0.35</v>
      </c>
    </row>
    <row r="151" spans="1:10" x14ac:dyDescent="0.25">
      <c r="A151" s="41">
        <v>173</v>
      </c>
      <c r="B151" s="36">
        <v>58</v>
      </c>
      <c r="C151" s="36">
        <v>65</v>
      </c>
      <c r="D151" s="36">
        <v>18</v>
      </c>
      <c r="E151" s="36">
        <v>68</v>
      </c>
      <c r="F151" s="36">
        <v>56</v>
      </c>
      <c r="G151" s="36">
        <v>101</v>
      </c>
      <c r="H151" s="36">
        <v>34</v>
      </c>
      <c r="I151" s="36">
        <v>94</v>
      </c>
      <c r="J151" s="36">
        <v>0.35</v>
      </c>
    </row>
    <row r="152" spans="1:10" x14ac:dyDescent="0.25">
      <c r="A152" s="41">
        <v>174</v>
      </c>
      <c r="B152" s="36">
        <v>58</v>
      </c>
      <c r="C152" s="36">
        <v>65</v>
      </c>
      <c r="D152" s="36">
        <v>18</v>
      </c>
      <c r="E152" s="36">
        <v>68</v>
      </c>
      <c r="F152" s="36">
        <v>56</v>
      </c>
      <c r="G152" s="36">
        <v>101</v>
      </c>
      <c r="H152" s="36">
        <v>34</v>
      </c>
      <c r="I152" s="36">
        <v>94</v>
      </c>
      <c r="J152" s="36">
        <v>0.35</v>
      </c>
    </row>
    <row r="153" spans="1:10" x14ac:dyDescent="0.25">
      <c r="A153" s="41">
        <v>175</v>
      </c>
      <c r="B153" s="36">
        <v>58</v>
      </c>
      <c r="C153" s="36">
        <v>65</v>
      </c>
      <c r="D153" s="36">
        <v>18</v>
      </c>
      <c r="E153" s="36">
        <v>68</v>
      </c>
      <c r="F153" s="36">
        <v>56</v>
      </c>
      <c r="G153" s="36">
        <v>101</v>
      </c>
      <c r="H153" s="36">
        <v>34</v>
      </c>
      <c r="I153" s="36">
        <v>94</v>
      </c>
      <c r="J153" s="36">
        <v>0.35</v>
      </c>
    </row>
    <row r="154" spans="1:10" x14ac:dyDescent="0.25">
      <c r="A154" s="41">
        <v>176</v>
      </c>
      <c r="B154" s="36">
        <v>58</v>
      </c>
      <c r="C154" s="36">
        <v>65</v>
      </c>
      <c r="D154" s="36">
        <v>18</v>
      </c>
      <c r="E154" s="36">
        <v>68</v>
      </c>
      <c r="F154" s="36">
        <v>56</v>
      </c>
      <c r="G154" s="36">
        <v>101</v>
      </c>
      <c r="H154" s="36">
        <v>34</v>
      </c>
      <c r="I154" s="36">
        <v>94</v>
      </c>
      <c r="J154" s="36">
        <v>0.35</v>
      </c>
    </row>
    <row r="155" spans="1:10" x14ac:dyDescent="0.25">
      <c r="A155" s="41">
        <v>177</v>
      </c>
      <c r="B155" s="36">
        <v>58</v>
      </c>
      <c r="C155" s="36">
        <v>65</v>
      </c>
      <c r="D155" s="36">
        <v>18</v>
      </c>
      <c r="E155" s="36">
        <v>68</v>
      </c>
      <c r="F155" s="36">
        <v>56</v>
      </c>
      <c r="G155" s="36">
        <v>101</v>
      </c>
      <c r="H155" s="36">
        <v>34</v>
      </c>
      <c r="I155" s="36">
        <v>94</v>
      </c>
      <c r="J155" s="36">
        <v>0.35</v>
      </c>
    </row>
    <row r="156" spans="1:10" x14ac:dyDescent="0.25">
      <c r="A156" s="41">
        <v>178</v>
      </c>
      <c r="B156" s="36">
        <v>58</v>
      </c>
      <c r="C156" s="36">
        <v>65</v>
      </c>
      <c r="D156" s="36">
        <v>18</v>
      </c>
      <c r="E156" s="36">
        <v>68</v>
      </c>
      <c r="F156" s="36">
        <v>56</v>
      </c>
      <c r="G156" s="36">
        <v>101</v>
      </c>
      <c r="H156" s="36">
        <v>34</v>
      </c>
      <c r="I156" s="36">
        <v>94</v>
      </c>
      <c r="J156" s="36">
        <v>0.35</v>
      </c>
    </row>
    <row r="157" spans="1:10" x14ac:dyDescent="0.25">
      <c r="A157" s="41">
        <v>179</v>
      </c>
      <c r="B157" s="36">
        <v>58</v>
      </c>
      <c r="C157" s="36">
        <v>65</v>
      </c>
      <c r="D157" s="36">
        <v>18</v>
      </c>
      <c r="E157" s="36">
        <v>68</v>
      </c>
      <c r="F157" s="36">
        <v>56</v>
      </c>
      <c r="G157" s="36">
        <v>101</v>
      </c>
      <c r="H157" s="36">
        <v>34</v>
      </c>
      <c r="I157" s="36">
        <v>94</v>
      </c>
      <c r="J157" s="36">
        <v>0.35</v>
      </c>
    </row>
    <row r="158" spans="1:10" x14ac:dyDescent="0.25">
      <c r="A158" s="41">
        <v>180</v>
      </c>
      <c r="B158" s="36">
        <v>58</v>
      </c>
      <c r="C158" s="36">
        <v>65</v>
      </c>
      <c r="D158" s="36">
        <v>18</v>
      </c>
      <c r="E158" s="36">
        <v>68</v>
      </c>
      <c r="F158" s="36">
        <v>56</v>
      </c>
      <c r="G158" s="36">
        <v>101</v>
      </c>
      <c r="H158" s="36">
        <v>34</v>
      </c>
      <c r="I158" s="36">
        <v>95</v>
      </c>
      <c r="J158" s="36">
        <v>0.28000000000000003</v>
      </c>
    </row>
    <row r="159" spans="1:10" x14ac:dyDescent="0.25">
      <c r="A159" s="41">
        <v>181</v>
      </c>
      <c r="B159" s="36">
        <v>58</v>
      </c>
      <c r="C159" s="36">
        <v>65</v>
      </c>
      <c r="D159" s="36">
        <v>18</v>
      </c>
      <c r="E159" s="36">
        <v>68</v>
      </c>
      <c r="F159" s="36">
        <v>56</v>
      </c>
      <c r="G159" s="36">
        <v>101</v>
      </c>
      <c r="H159" s="36">
        <v>34</v>
      </c>
      <c r="I159" s="36">
        <v>95</v>
      </c>
      <c r="J159" s="36">
        <v>0.28000000000000003</v>
      </c>
    </row>
    <row r="160" spans="1:10" x14ac:dyDescent="0.25">
      <c r="A160" s="41">
        <v>182</v>
      </c>
      <c r="B160" s="36">
        <v>58</v>
      </c>
      <c r="C160" s="36">
        <v>65</v>
      </c>
      <c r="D160" s="36">
        <v>18</v>
      </c>
      <c r="E160" s="36">
        <v>68</v>
      </c>
      <c r="F160" s="36">
        <v>56</v>
      </c>
      <c r="G160" s="36">
        <v>101</v>
      </c>
      <c r="H160" s="36">
        <v>34</v>
      </c>
      <c r="I160" s="36">
        <v>95</v>
      </c>
      <c r="J160" s="36">
        <v>0.28000000000000003</v>
      </c>
    </row>
    <row r="161" spans="1:10" x14ac:dyDescent="0.25">
      <c r="A161" s="41">
        <v>183</v>
      </c>
      <c r="B161" s="36">
        <v>58</v>
      </c>
      <c r="C161" s="36">
        <v>65</v>
      </c>
      <c r="D161" s="36">
        <v>18</v>
      </c>
      <c r="E161" s="36">
        <v>68</v>
      </c>
      <c r="F161" s="36">
        <v>56</v>
      </c>
      <c r="G161" s="36">
        <v>101</v>
      </c>
      <c r="H161" s="36">
        <v>34</v>
      </c>
      <c r="I161" s="36">
        <v>95</v>
      </c>
      <c r="J161" s="36">
        <v>0.28000000000000003</v>
      </c>
    </row>
    <row r="162" spans="1:10" x14ac:dyDescent="0.25">
      <c r="A162" s="41">
        <v>184</v>
      </c>
      <c r="B162" s="36">
        <v>58</v>
      </c>
      <c r="C162" s="36">
        <v>65</v>
      </c>
      <c r="D162" s="36">
        <v>18</v>
      </c>
      <c r="E162" s="36">
        <v>68</v>
      </c>
      <c r="F162" s="36">
        <v>56</v>
      </c>
      <c r="G162" s="36">
        <v>101</v>
      </c>
      <c r="H162" s="36">
        <v>34</v>
      </c>
      <c r="I162" s="36">
        <v>95</v>
      </c>
      <c r="J162" s="36">
        <v>0.28000000000000003</v>
      </c>
    </row>
    <row r="163" spans="1:10" x14ac:dyDescent="0.25">
      <c r="A163" s="41">
        <v>185</v>
      </c>
      <c r="B163" s="36">
        <v>58</v>
      </c>
      <c r="C163" s="36">
        <v>65</v>
      </c>
      <c r="D163" s="36">
        <v>18</v>
      </c>
      <c r="E163" s="36">
        <v>68</v>
      </c>
      <c r="F163" s="36">
        <v>56</v>
      </c>
      <c r="G163" s="36">
        <v>101</v>
      </c>
      <c r="H163" s="36">
        <v>34</v>
      </c>
      <c r="I163" s="36">
        <v>95</v>
      </c>
      <c r="J163" s="36">
        <v>0.28000000000000003</v>
      </c>
    </row>
    <row r="164" spans="1:10" x14ac:dyDescent="0.25">
      <c r="A164" s="41">
        <v>186</v>
      </c>
      <c r="B164" s="36">
        <v>58</v>
      </c>
      <c r="C164" s="36">
        <v>65</v>
      </c>
      <c r="D164" s="36">
        <v>18</v>
      </c>
      <c r="E164" s="36">
        <v>68</v>
      </c>
      <c r="F164" s="36">
        <v>56</v>
      </c>
      <c r="G164" s="36">
        <v>101</v>
      </c>
      <c r="H164" s="36">
        <v>34</v>
      </c>
      <c r="I164" s="36">
        <v>95</v>
      </c>
      <c r="J164" s="36">
        <v>0.28000000000000003</v>
      </c>
    </row>
    <row r="165" spans="1:10" x14ac:dyDescent="0.25">
      <c r="A165" s="41">
        <v>187</v>
      </c>
      <c r="B165" s="36">
        <v>58</v>
      </c>
      <c r="C165" s="36">
        <v>65</v>
      </c>
      <c r="D165" s="36">
        <v>18</v>
      </c>
      <c r="E165" s="36">
        <v>68</v>
      </c>
      <c r="F165" s="36">
        <v>56</v>
      </c>
      <c r="G165" s="36">
        <v>101</v>
      </c>
      <c r="H165" s="36">
        <v>34</v>
      </c>
      <c r="I165" s="36">
        <v>95</v>
      </c>
      <c r="J165" s="36">
        <v>0.28000000000000003</v>
      </c>
    </row>
    <row r="166" spans="1:10" x14ac:dyDescent="0.25">
      <c r="A166" s="41">
        <v>188</v>
      </c>
      <c r="B166" s="36">
        <v>58</v>
      </c>
      <c r="C166" s="36">
        <v>65</v>
      </c>
      <c r="D166" s="36">
        <v>18</v>
      </c>
      <c r="E166" s="36">
        <v>68</v>
      </c>
      <c r="F166" s="36">
        <v>56</v>
      </c>
      <c r="G166" s="36">
        <v>101</v>
      </c>
      <c r="H166" s="36">
        <v>34</v>
      </c>
      <c r="I166" s="36">
        <v>95</v>
      </c>
      <c r="J166" s="36">
        <v>0.28000000000000003</v>
      </c>
    </row>
    <row r="167" spans="1:10" x14ac:dyDescent="0.25">
      <c r="A167" s="41">
        <v>189</v>
      </c>
      <c r="B167" s="36">
        <v>58</v>
      </c>
      <c r="C167" s="36">
        <v>65</v>
      </c>
      <c r="D167" s="36">
        <v>18</v>
      </c>
      <c r="E167" s="36">
        <v>68</v>
      </c>
      <c r="F167" s="36">
        <v>56</v>
      </c>
      <c r="G167" s="36">
        <v>101</v>
      </c>
      <c r="H167" s="36">
        <v>34</v>
      </c>
      <c r="I167" s="36">
        <v>95</v>
      </c>
      <c r="J167" s="36">
        <v>0.28000000000000003</v>
      </c>
    </row>
    <row r="168" spans="1:10" x14ac:dyDescent="0.25">
      <c r="A168" s="41">
        <v>190</v>
      </c>
      <c r="B168" s="36">
        <v>58</v>
      </c>
      <c r="C168" s="36">
        <v>65</v>
      </c>
      <c r="D168" s="36">
        <v>18</v>
      </c>
      <c r="E168" s="36">
        <v>68</v>
      </c>
      <c r="F168" s="36">
        <v>56</v>
      </c>
      <c r="G168" s="36">
        <v>101</v>
      </c>
      <c r="H168" s="36">
        <v>34</v>
      </c>
      <c r="I168" s="36">
        <v>95</v>
      </c>
      <c r="J168" s="36">
        <v>0.28000000000000003</v>
      </c>
    </row>
    <row r="169" spans="1:10" x14ac:dyDescent="0.25">
      <c r="A169" s="41">
        <v>191</v>
      </c>
      <c r="B169" s="36">
        <v>58</v>
      </c>
      <c r="C169" s="36">
        <v>65</v>
      </c>
      <c r="D169" s="36">
        <v>18</v>
      </c>
      <c r="E169" s="36">
        <v>68</v>
      </c>
      <c r="F169" s="36">
        <v>56</v>
      </c>
      <c r="G169" s="36">
        <v>101</v>
      </c>
      <c r="H169" s="36">
        <v>34</v>
      </c>
      <c r="I169" s="36">
        <v>95</v>
      </c>
      <c r="J169" s="36">
        <v>0.28000000000000003</v>
      </c>
    </row>
    <row r="170" spans="1:10" x14ac:dyDescent="0.25">
      <c r="A170" s="41">
        <v>192</v>
      </c>
      <c r="B170" s="36">
        <v>58</v>
      </c>
      <c r="C170" s="36">
        <v>65</v>
      </c>
      <c r="D170" s="36">
        <v>18</v>
      </c>
      <c r="E170" s="36">
        <v>68</v>
      </c>
      <c r="F170" s="36">
        <v>56</v>
      </c>
      <c r="G170" s="36">
        <v>101</v>
      </c>
      <c r="H170" s="36">
        <v>34</v>
      </c>
      <c r="I170" s="36">
        <v>95</v>
      </c>
      <c r="J170" s="36">
        <v>0.28000000000000003</v>
      </c>
    </row>
    <row r="171" spans="1:10" x14ac:dyDescent="0.25">
      <c r="A171" s="41">
        <v>193</v>
      </c>
      <c r="B171" s="36">
        <v>58</v>
      </c>
      <c r="C171" s="36">
        <v>65</v>
      </c>
      <c r="D171" s="36">
        <v>18</v>
      </c>
      <c r="E171" s="36">
        <v>68</v>
      </c>
      <c r="F171" s="36">
        <v>56</v>
      </c>
      <c r="G171" s="36">
        <v>101</v>
      </c>
      <c r="H171" s="36">
        <v>34</v>
      </c>
      <c r="I171" s="36">
        <v>95</v>
      </c>
      <c r="J171" s="36">
        <v>0.28000000000000003</v>
      </c>
    </row>
    <row r="172" spans="1:10" x14ac:dyDescent="0.25">
      <c r="A172" s="41">
        <v>194</v>
      </c>
      <c r="B172" s="36">
        <v>58</v>
      </c>
      <c r="C172" s="36">
        <v>65</v>
      </c>
      <c r="D172" s="36">
        <v>18</v>
      </c>
      <c r="E172" s="36">
        <v>68</v>
      </c>
      <c r="F172" s="36">
        <v>56</v>
      </c>
      <c r="G172" s="36">
        <v>101</v>
      </c>
      <c r="H172" s="36">
        <v>34</v>
      </c>
      <c r="I172" s="36">
        <v>95</v>
      </c>
      <c r="J172" s="36">
        <v>0.28000000000000003</v>
      </c>
    </row>
    <row r="173" spans="1:10" x14ac:dyDescent="0.25">
      <c r="A173" s="41">
        <v>195</v>
      </c>
      <c r="B173" s="36">
        <v>58</v>
      </c>
      <c r="C173" s="36">
        <v>65</v>
      </c>
      <c r="D173" s="36">
        <v>18</v>
      </c>
      <c r="E173" s="36">
        <v>68</v>
      </c>
      <c r="F173" s="36">
        <v>56</v>
      </c>
      <c r="G173" s="36">
        <v>101</v>
      </c>
      <c r="H173" s="36">
        <v>34</v>
      </c>
      <c r="I173" s="36">
        <v>95</v>
      </c>
      <c r="J173" s="36">
        <v>0.28000000000000003</v>
      </c>
    </row>
    <row r="174" spans="1:10" x14ac:dyDescent="0.25">
      <c r="A174" s="41">
        <v>196</v>
      </c>
      <c r="B174" s="36">
        <v>58</v>
      </c>
      <c r="C174" s="36">
        <v>65</v>
      </c>
      <c r="D174" s="36">
        <v>18</v>
      </c>
      <c r="E174" s="36">
        <v>68</v>
      </c>
      <c r="F174" s="36">
        <v>56</v>
      </c>
      <c r="G174" s="36">
        <v>101</v>
      </c>
      <c r="H174" s="36">
        <v>34</v>
      </c>
      <c r="I174" s="36">
        <v>95</v>
      </c>
      <c r="J174" s="36">
        <v>0.28000000000000003</v>
      </c>
    </row>
    <row r="175" spans="1:10" x14ac:dyDescent="0.25">
      <c r="A175" s="41">
        <v>197</v>
      </c>
      <c r="B175" s="36">
        <v>58</v>
      </c>
      <c r="C175" s="36">
        <v>65</v>
      </c>
      <c r="D175" s="36">
        <v>18</v>
      </c>
      <c r="E175" s="36">
        <v>68</v>
      </c>
      <c r="F175" s="36">
        <v>56</v>
      </c>
      <c r="G175" s="36">
        <v>101</v>
      </c>
      <c r="H175" s="36">
        <v>34</v>
      </c>
      <c r="I175" s="36">
        <v>95</v>
      </c>
      <c r="J175" s="36">
        <v>0.28000000000000003</v>
      </c>
    </row>
    <row r="176" spans="1:10" x14ac:dyDescent="0.25">
      <c r="A176" s="41">
        <v>198</v>
      </c>
      <c r="B176" s="36">
        <v>58</v>
      </c>
      <c r="C176" s="36">
        <v>65</v>
      </c>
      <c r="D176" s="36">
        <v>18</v>
      </c>
      <c r="E176" s="36">
        <v>68</v>
      </c>
      <c r="F176" s="36">
        <v>56</v>
      </c>
      <c r="G176" s="36">
        <v>101</v>
      </c>
      <c r="H176" s="36">
        <v>34</v>
      </c>
      <c r="I176" s="36">
        <v>95</v>
      </c>
      <c r="J176" s="36">
        <v>0.28000000000000003</v>
      </c>
    </row>
    <row r="177" spans="1:10" x14ac:dyDescent="0.25">
      <c r="A177" s="41">
        <v>199</v>
      </c>
      <c r="B177" s="36">
        <v>58</v>
      </c>
      <c r="C177" s="36">
        <v>65</v>
      </c>
      <c r="D177" s="36">
        <v>18</v>
      </c>
      <c r="E177" s="36">
        <v>68</v>
      </c>
      <c r="F177" s="36">
        <v>56</v>
      </c>
      <c r="G177" s="36">
        <v>101</v>
      </c>
      <c r="H177" s="36">
        <v>34</v>
      </c>
      <c r="I177" s="36">
        <v>95</v>
      </c>
      <c r="J177" s="36">
        <v>0.28000000000000003</v>
      </c>
    </row>
    <row r="178" spans="1:10" x14ac:dyDescent="0.25">
      <c r="A178" s="41">
        <v>200</v>
      </c>
      <c r="B178" s="36">
        <v>58</v>
      </c>
      <c r="C178" s="36">
        <v>65</v>
      </c>
      <c r="D178" s="36">
        <v>18</v>
      </c>
      <c r="E178" s="36">
        <v>68</v>
      </c>
      <c r="F178" s="36">
        <v>56</v>
      </c>
      <c r="G178" s="36">
        <v>101</v>
      </c>
      <c r="H178" s="36">
        <v>34</v>
      </c>
      <c r="I178" s="36">
        <v>95</v>
      </c>
      <c r="J178" s="36">
        <v>0.28000000000000003</v>
      </c>
    </row>
    <row r="179" spans="1:10" x14ac:dyDescent="0.25">
      <c r="A179" s="41">
        <v>201</v>
      </c>
      <c r="B179" s="36">
        <v>58</v>
      </c>
      <c r="C179" s="36">
        <v>65</v>
      </c>
      <c r="D179" s="36">
        <v>18</v>
      </c>
      <c r="E179" s="36">
        <v>68</v>
      </c>
      <c r="F179" s="36">
        <v>56</v>
      </c>
      <c r="G179" s="36">
        <v>101</v>
      </c>
      <c r="H179" s="36">
        <v>34</v>
      </c>
      <c r="I179" s="36">
        <v>95</v>
      </c>
      <c r="J179" s="36">
        <v>0.28000000000000003</v>
      </c>
    </row>
    <row r="180" spans="1:10" x14ac:dyDescent="0.25">
      <c r="A180" s="41">
        <v>202</v>
      </c>
      <c r="B180" s="36">
        <v>58</v>
      </c>
      <c r="C180" s="36">
        <v>65</v>
      </c>
      <c r="D180" s="36">
        <v>18</v>
      </c>
      <c r="E180" s="36">
        <v>68</v>
      </c>
      <c r="F180" s="36">
        <v>56</v>
      </c>
      <c r="G180" s="36">
        <v>101</v>
      </c>
      <c r="H180" s="36">
        <v>34</v>
      </c>
      <c r="I180" s="36">
        <v>95</v>
      </c>
      <c r="J180" s="36">
        <v>0.28000000000000003</v>
      </c>
    </row>
    <row r="181" spans="1:10" x14ac:dyDescent="0.25">
      <c r="A181" s="41">
        <v>203</v>
      </c>
      <c r="B181" s="36">
        <v>58</v>
      </c>
      <c r="C181" s="36">
        <v>65</v>
      </c>
      <c r="D181" s="36">
        <v>18</v>
      </c>
      <c r="E181" s="36">
        <v>68</v>
      </c>
      <c r="F181" s="36">
        <v>56</v>
      </c>
      <c r="G181" s="36">
        <v>101</v>
      </c>
      <c r="H181" s="36">
        <v>34</v>
      </c>
      <c r="I181" s="36">
        <v>95</v>
      </c>
      <c r="J181" s="36">
        <v>0.28000000000000003</v>
      </c>
    </row>
    <row r="182" spans="1:10" x14ac:dyDescent="0.25">
      <c r="A182" s="41">
        <v>204</v>
      </c>
      <c r="B182" s="36">
        <v>58</v>
      </c>
      <c r="C182" s="36">
        <v>65</v>
      </c>
      <c r="D182" s="36">
        <v>18</v>
      </c>
      <c r="E182" s="36">
        <v>68</v>
      </c>
      <c r="F182" s="36">
        <v>56</v>
      </c>
      <c r="G182" s="36">
        <v>101</v>
      </c>
      <c r="H182" s="36">
        <v>34</v>
      </c>
      <c r="I182" s="36">
        <v>95</v>
      </c>
      <c r="J182" s="36">
        <v>0.28000000000000003</v>
      </c>
    </row>
    <row r="183" spans="1:10" x14ac:dyDescent="0.25">
      <c r="A183" s="41">
        <v>205</v>
      </c>
      <c r="B183" s="36">
        <v>58</v>
      </c>
      <c r="C183" s="36">
        <v>65</v>
      </c>
      <c r="D183" s="36">
        <v>18</v>
      </c>
      <c r="E183" s="36">
        <v>68</v>
      </c>
      <c r="F183" s="36">
        <v>56</v>
      </c>
      <c r="G183" s="36">
        <v>101</v>
      </c>
      <c r="H183" s="36">
        <v>34</v>
      </c>
      <c r="I183" s="36">
        <v>95</v>
      </c>
      <c r="J183" s="36">
        <v>0.28000000000000003</v>
      </c>
    </row>
    <row r="184" spans="1:10" x14ac:dyDescent="0.25">
      <c r="A184" s="41">
        <v>206</v>
      </c>
      <c r="B184" s="36">
        <v>58</v>
      </c>
      <c r="C184" s="36">
        <v>65</v>
      </c>
      <c r="D184" s="36">
        <v>18</v>
      </c>
      <c r="E184" s="36">
        <v>68</v>
      </c>
      <c r="F184" s="36">
        <v>56</v>
      </c>
      <c r="G184" s="36">
        <v>101</v>
      </c>
      <c r="H184" s="36">
        <v>34</v>
      </c>
      <c r="I184" s="36">
        <v>95</v>
      </c>
      <c r="J184" s="36">
        <v>0.28000000000000003</v>
      </c>
    </row>
    <row r="185" spans="1:10" x14ac:dyDescent="0.25">
      <c r="A185" s="41">
        <v>207</v>
      </c>
      <c r="B185" s="36">
        <v>58</v>
      </c>
      <c r="C185" s="36">
        <v>65</v>
      </c>
      <c r="D185" s="36">
        <v>18</v>
      </c>
      <c r="E185" s="36">
        <v>68</v>
      </c>
      <c r="F185" s="36">
        <v>56</v>
      </c>
      <c r="G185" s="36">
        <v>101</v>
      </c>
      <c r="H185" s="36">
        <v>34</v>
      </c>
      <c r="I185" s="36">
        <v>95</v>
      </c>
      <c r="J185" s="36">
        <v>0.28000000000000003</v>
      </c>
    </row>
    <row r="186" spans="1:10" x14ac:dyDescent="0.25">
      <c r="A186" s="41">
        <v>208</v>
      </c>
      <c r="B186" s="36">
        <v>58</v>
      </c>
      <c r="C186" s="36">
        <v>65</v>
      </c>
      <c r="D186" s="36">
        <v>18</v>
      </c>
      <c r="E186" s="36">
        <v>68</v>
      </c>
      <c r="F186" s="36">
        <v>56</v>
      </c>
      <c r="G186" s="36">
        <v>101</v>
      </c>
      <c r="H186" s="36">
        <v>34</v>
      </c>
      <c r="I186" s="36">
        <v>95</v>
      </c>
      <c r="J186" s="36">
        <v>0.28000000000000003</v>
      </c>
    </row>
    <row r="187" spans="1:10" x14ac:dyDescent="0.25">
      <c r="A187" s="41">
        <v>209</v>
      </c>
      <c r="B187" s="36">
        <v>58</v>
      </c>
      <c r="C187" s="36">
        <v>65</v>
      </c>
      <c r="D187" s="36">
        <v>18</v>
      </c>
      <c r="E187" s="36">
        <v>68</v>
      </c>
      <c r="F187" s="36">
        <v>56</v>
      </c>
      <c r="G187" s="36">
        <v>101</v>
      </c>
      <c r="H187" s="36">
        <v>34</v>
      </c>
      <c r="I187" s="36">
        <v>95</v>
      </c>
      <c r="J187" s="36">
        <v>0.28000000000000003</v>
      </c>
    </row>
    <row r="188" spans="1:10" x14ac:dyDescent="0.25">
      <c r="A188" s="41">
        <v>210</v>
      </c>
      <c r="B188" s="36">
        <v>58</v>
      </c>
      <c r="C188" s="36">
        <v>65</v>
      </c>
      <c r="D188" s="36">
        <v>18</v>
      </c>
      <c r="E188" s="36">
        <v>68</v>
      </c>
      <c r="F188" s="36">
        <v>56</v>
      </c>
      <c r="G188" s="36">
        <v>101</v>
      </c>
      <c r="H188" s="36">
        <v>34</v>
      </c>
      <c r="I188" s="36">
        <v>95</v>
      </c>
      <c r="J188" s="36">
        <v>0.28000000000000003</v>
      </c>
    </row>
    <row r="189" spans="1:10" x14ac:dyDescent="0.25">
      <c r="A189" s="41">
        <v>211</v>
      </c>
      <c r="B189" s="36">
        <v>58</v>
      </c>
      <c r="C189" s="36">
        <v>65</v>
      </c>
      <c r="D189" s="36">
        <v>18</v>
      </c>
      <c r="E189" s="36">
        <v>68</v>
      </c>
      <c r="F189" s="36">
        <v>56</v>
      </c>
      <c r="G189" s="36">
        <v>101</v>
      </c>
      <c r="H189" s="36">
        <v>34</v>
      </c>
      <c r="I189" s="36">
        <v>95</v>
      </c>
      <c r="J189" s="36">
        <v>0.28000000000000003</v>
      </c>
    </row>
    <row r="190" spans="1:10" x14ac:dyDescent="0.25">
      <c r="A190" s="41">
        <v>212</v>
      </c>
      <c r="B190" s="36">
        <v>58</v>
      </c>
      <c r="C190" s="36">
        <v>65</v>
      </c>
      <c r="D190" s="36">
        <v>18</v>
      </c>
      <c r="E190" s="36">
        <v>68</v>
      </c>
      <c r="F190" s="36">
        <v>56</v>
      </c>
      <c r="G190" s="36">
        <v>101</v>
      </c>
      <c r="H190" s="36">
        <v>34</v>
      </c>
      <c r="I190" s="36">
        <v>95</v>
      </c>
      <c r="J190" s="36">
        <v>0.28000000000000003</v>
      </c>
    </row>
    <row r="191" spans="1:10" x14ac:dyDescent="0.25">
      <c r="A191" s="41">
        <v>213</v>
      </c>
      <c r="B191" s="36">
        <v>58</v>
      </c>
      <c r="C191" s="36">
        <v>65</v>
      </c>
      <c r="D191" s="36">
        <v>18</v>
      </c>
      <c r="E191" s="36">
        <v>68</v>
      </c>
      <c r="F191" s="36">
        <v>56</v>
      </c>
      <c r="G191" s="36">
        <v>101</v>
      </c>
      <c r="H191" s="36">
        <v>34</v>
      </c>
      <c r="I191" s="36">
        <v>95</v>
      </c>
      <c r="J191" s="36">
        <v>0.28000000000000003</v>
      </c>
    </row>
    <row r="192" spans="1:10" x14ac:dyDescent="0.25">
      <c r="A192" s="41">
        <v>214</v>
      </c>
      <c r="B192" s="36">
        <v>58</v>
      </c>
      <c r="C192" s="36">
        <v>65</v>
      </c>
      <c r="D192" s="36">
        <v>18</v>
      </c>
      <c r="E192" s="36">
        <v>68</v>
      </c>
      <c r="F192" s="36">
        <v>56</v>
      </c>
      <c r="G192" s="36">
        <v>101</v>
      </c>
      <c r="H192" s="36">
        <v>34</v>
      </c>
      <c r="I192" s="36">
        <v>95</v>
      </c>
      <c r="J192" s="36">
        <v>0.28000000000000003</v>
      </c>
    </row>
    <row r="193" spans="1:10" x14ac:dyDescent="0.25">
      <c r="A193" s="41">
        <v>215</v>
      </c>
      <c r="B193" s="36">
        <v>58</v>
      </c>
      <c r="C193" s="36">
        <v>65</v>
      </c>
      <c r="D193" s="36">
        <v>18</v>
      </c>
      <c r="E193" s="36">
        <v>68</v>
      </c>
      <c r="F193" s="36">
        <v>56</v>
      </c>
      <c r="G193" s="36">
        <v>101</v>
      </c>
      <c r="H193" s="36">
        <v>34</v>
      </c>
      <c r="I193" s="36">
        <v>95</v>
      </c>
      <c r="J193" s="36">
        <v>0.28000000000000003</v>
      </c>
    </row>
    <row r="194" spans="1:10" x14ac:dyDescent="0.25">
      <c r="A194" s="41">
        <v>216</v>
      </c>
      <c r="B194" s="36">
        <v>58</v>
      </c>
      <c r="C194" s="36">
        <v>65</v>
      </c>
      <c r="D194" s="36">
        <v>18</v>
      </c>
      <c r="E194" s="36">
        <v>68</v>
      </c>
      <c r="F194" s="36">
        <v>56</v>
      </c>
      <c r="G194" s="36">
        <v>101</v>
      </c>
      <c r="H194" s="36">
        <v>34</v>
      </c>
      <c r="I194" s="36">
        <v>95</v>
      </c>
      <c r="J194" s="36">
        <v>0.28000000000000003</v>
      </c>
    </row>
    <row r="195" spans="1:10" x14ac:dyDescent="0.25">
      <c r="A195" s="41">
        <v>217</v>
      </c>
      <c r="B195" s="36">
        <v>58</v>
      </c>
      <c r="C195" s="36">
        <v>65</v>
      </c>
      <c r="D195" s="36">
        <v>18</v>
      </c>
      <c r="E195" s="36">
        <v>68</v>
      </c>
      <c r="F195" s="36">
        <v>56</v>
      </c>
      <c r="G195" s="36">
        <v>101</v>
      </c>
      <c r="H195" s="36">
        <v>34</v>
      </c>
      <c r="I195" s="36">
        <v>95</v>
      </c>
      <c r="J195" s="36">
        <v>0.28000000000000003</v>
      </c>
    </row>
    <row r="196" spans="1:10" x14ac:dyDescent="0.25">
      <c r="A196" s="41">
        <v>218</v>
      </c>
      <c r="B196" s="36">
        <v>58</v>
      </c>
      <c r="C196" s="36">
        <v>65</v>
      </c>
      <c r="D196" s="36">
        <v>18</v>
      </c>
      <c r="E196" s="36">
        <v>68</v>
      </c>
      <c r="F196" s="36">
        <v>56</v>
      </c>
      <c r="G196" s="36">
        <v>101</v>
      </c>
      <c r="H196" s="36">
        <v>34</v>
      </c>
      <c r="I196" s="36">
        <v>95</v>
      </c>
      <c r="J196" s="36">
        <v>0.28000000000000003</v>
      </c>
    </row>
    <row r="197" spans="1:10" x14ac:dyDescent="0.25">
      <c r="A197" s="41">
        <v>219</v>
      </c>
      <c r="B197" s="36">
        <v>58</v>
      </c>
      <c r="C197" s="36">
        <v>65</v>
      </c>
      <c r="D197" s="36">
        <v>18</v>
      </c>
      <c r="E197" s="36">
        <v>68</v>
      </c>
      <c r="F197" s="36">
        <v>56</v>
      </c>
      <c r="G197" s="36">
        <v>101</v>
      </c>
      <c r="H197" s="36">
        <v>34</v>
      </c>
      <c r="I197" s="36">
        <v>95</v>
      </c>
      <c r="J197" s="36">
        <v>0.28000000000000003</v>
      </c>
    </row>
    <row r="198" spans="1:10" x14ac:dyDescent="0.25">
      <c r="A198" s="41">
        <v>220</v>
      </c>
      <c r="B198" s="36">
        <v>58</v>
      </c>
      <c r="C198" s="36">
        <v>65</v>
      </c>
      <c r="D198" s="36">
        <v>18</v>
      </c>
      <c r="E198" s="36">
        <v>68</v>
      </c>
      <c r="F198" s="36">
        <v>56</v>
      </c>
      <c r="G198" s="36">
        <v>101</v>
      </c>
      <c r="H198" s="36">
        <v>34</v>
      </c>
      <c r="I198" s="36">
        <v>95</v>
      </c>
      <c r="J198" s="36">
        <v>0.28000000000000003</v>
      </c>
    </row>
    <row r="199" spans="1:10" x14ac:dyDescent="0.25">
      <c r="A199" s="41">
        <v>221</v>
      </c>
      <c r="B199" s="36">
        <v>58</v>
      </c>
      <c r="C199" s="36">
        <v>65</v>
      </c>
      <c r="D199" s="36">
        <v>18</v>
      </c>
      <c r="E199" s="36">
        <v>68</v>
      </c>
      <c r="F199" s="36">
        <v>56</v>
      </c>
      <c r="G199" s="36">
        <v>101</v>
      </c>
      <c r="H199" s="36">
        <v>34</v>
      </c>
      <c r="I199" s="36">
        <v>95</v>
      </c>
      <c r="J199" s="36">
        <v>0.28000000000000003</v>
      </c>
    </row>
    <row r="200" spans="1:10" x14ac:dyDescent="0.25">
      <c r="A200" s="41">
        <v>222</v>
      </c>
      <c r="B200" s="36">
        <v>58</v>
      </c>
      <c r="C200" s="36">
        <v>65</v>
      </c>
      <c r="D200" s="36">
        <v>18</v>
      </c>
      <c r="E200" s="36">
        <v>68</v>
      </c>
      <c r="F200" s="36">
        <v>56</v>
      </c>
      <c r="G200" s="36">
        <v>101</v>
      </c>
      <c r="H200" s="36">
        <v>34</v>
      </c>
      <c r="I200" s="36">
        <v>95</v>
      </c>
      <c r="J200" s="36">
        <v>0.28000000000000003</v>
      </c>
    </row>
    <row r="201" spans="1:10" x14ac:dyDescent="0.25">
      <c r="A201" s="41">
        <v>223</v>
      </c>
      <c r="B201" s="36">
        <v>58</v>
      </c>
      <c r="C201" s="36">
        <v>65</v>
      </c>
      <c r="D201" s="36">
        <v>18</v>
      </c>
      <c r="E201" s="36">
        <v>68</v>
      </c>
      <c r="F201" s="36">
        <v>56</v>
      </c>
      <c r="G201" s="36">
        <v>101</v>
      </c>
      <c r="H201" s="36">
        <v>34</v>
      </c>
      <c r="I201" s="36">
        <v>95</v>
      </c>
      <c r="J201" s="36">
        <v>0.28000000000000003</v>
      </c>
    </row>
    <row r="202" spans="1:10" x14ac:dyDescent="0.25">
      <c r="A202" s="41">
        <v>224</v>
      </c>
      <c r="B202" s="36">
        <v>58</v>
      </c>
      <c r="C202" s="36">
        <v>65</v>
      </c>
      <c r="D202" s="36">
        <v>18</v>
      </c>
      <c r="E202" s="36">
        <v>68</v>
      </c>
      <c r="F202" s="36">
        <v>56</v>
      </c>
      <c r="G202" s="36">
        <v>101</v>
      </c>
      <c r="H202" s="36">
        <v>34</v>
      </c>
      <c r="I202" s="36">
        <v>95</v>
      </c>
      <c r="J202" s="36">
        <v>0.28000000000000003</v>
      </c>
    </row>
    <row r="203" spans="1:10" x14ac:dyDescent="0.25">
      <c r="A203" s="41">
        <v>225</v>
      </c>
      <c r="B203" s="36">
        <v>58</v>
      </c>
      <c r="C203" s="36">
        <v>65</v>
      </c>
      <c r="D203" s="36">
        <v>18</v>
      </c>
      <c r="E203" s="36">
        <v>68</v>
      </c>
      <c r="F203" s="36">
        <v>56</v>
      </c>
      <c r="G203" s="36">
        <v>101</v>
      </c>
      <c r="H203" s="36">
        <v>34</v>
      </c>
      <c r="I203" s="36">
        <v>95</v>
      </c>
      <c r="J203" s="36">
        <v>0.28000000000000003</v>
      </c>
    </row>
    <row r="204" spans="1:10" x14ac:dyDescent="0.25">
      <c r="A204" s="41">
        <v>226</v>
      </c>
      <c r="B204" s="36">
        <v>58</v>
      </c>
      <c r="C204" s="36">
        <v>65</v>
      </c>
      <c r="D204" s="36">
        <v>18</v>
      </c>
      <c r="E204" s="36">
        <v>68</v>
      </c>
      <c r="F204" s="36">
        <v>56</v>
      </c>
      <c r="G204" s="36">
        <v>101</v>
      </c>
      <c r="H204" s="36">
        <v>34</v>
      </c>
      <c r="I204" s="36">
        <v>95</v>
      </c>
      <c r="J204" s="36">
        <v>0.28000000000000003</v>
      </c>
    </row>
    <row r="205" spans="1:10" x14ac:dyDescent="0.25">
      <c r="A205" s="41">
        <v>227</v>
      </c>
      <c r="B205" s="36">
        <v>58</v>
      </c>
      <c r="C205" s="36">
        <v>65</v>
      </c>
      <c r="D205" s="36">
        <v>18</v>
      </c>
      <c r="E205" s="36">
        <v>68</v>
      </c>
      <c r="F205" s="36">
        <v>56</v>
      </c>
      <c r="G205" s="36">
        <v>101</v>
      </c>
      <c r="H205" s="36">
        <v>34</v>
      </c>
      <c r="I205" s="36">
        <v>95</v>
      </c>
      <c r="J205" s="36">
        <v>0.28000000000000003</v>
      </c>
    </row>
    <row r="206" spans="1:10" x14ac:dyDescent="0.25">
      <c r="A206" s="41">
        <v>228</v>
      </c>
      <c r="B206" s="36">
        <v>58</v>
      </c>
      <c r="C206" s="36">
        <v>65</v>
      </c>
      <c r="D206" s="36">
        <v>18</v>
      </c>
      <c r="E206" s="36">
        <v>68</v>
      </c>
      <c r="F206" s="36">
        <v>56</v>
      </c>
      <c r="G206" s="36">
        <v>101</v>
      </c>
      <c r="H206" s="36">
        <v>34</v>
      </c>
      <c r="I206" s="36">
        <v>95</v>
      </c>
      <c r="J206" s="36">
        <v>0.28000000000000003</v>
      </c>
    </row>
    <row r="207" spans="1:10" x14ac:dyDescent="0.25">
      <c r="A207" s="41">
        <v>229</v>
      </c>
      <c r="B207" s="36">
        <v>58</v>
      </c>
      <c r="C207" s="36">
        <v>65</v>
      </c>
      <c r="D207" s="36">
        <v>18</v>
      </c>
      <c r="E207" s="36">
        <v>68</v>
      </c>
      <c r="F207" s="36">
        <v>56</v>
      </c>
      <c r="G207" s="36">
        <v>101</v>
      </c>
      <c r="H207" s="36">
        <v>34</v>
      </c>
      <c r="I207" s="36">
        <v>95</v>
      </c>
      <c r="J207" s="36">
        <v>0.28000000000000003</v>
      </c>
    </row>
    <row r="208" spans="1:10" x14ac:dyDescent="0.25">
      <c r="A208" s="41">
        <v>230</v>
      </c>
      <c r="B208" s="36">
        <v>58</v>
      </c>
      <c r="C208" s="36">
        <v>66</v>
      </c>
      <c r="D208" s="36">
        <v>18</v>
      </c>
      <c r="E208" s="36">
        <v>68</v>
      </c>
      <c r="F208" s="36">
        <v>56</v>
      </c>
      <c r="G208" s="36">
        <v>101</v>
      </c>
      <c r="H208" s="36">
        <v>34</v>
      </c>
      <c r="I208" s="36">
        <v>96</v>
      </c>
      <c r="J208" s="36">
        <v>0.25</v>
      </c>
    </row>
    <row r="209" spans="1:10" x14ac:dyDescent="0.25">
      <c r="A209" s="41">
        <v>231</v>
      </c>
      <c r="B209" s="36">
        <v>58</v>
      </c>
      <c r="C209" s="36">
        <v>66</v>
      </c>
      <c r="D209" s="36">
        <v>18</v>
      </c>
      <c r="E209" s="36">
        <v>68</v>
      </c>
      <c r="F209" s="36">
        <v>56</v>
      </c>
      <c r="G209" s="36">
        <v>101</v>
      </c>
      <c r="H209" s="36">
        <v>34</v>
      </c>
      <c r="I209" s="36">
        <v>96</v>
      </c>
      <c r="J209" s="36">
        <v>0.25</v>
      </c>
    </row>
    <row r="210" spans="1:10" x14ac:dyDescent="0.25">
      <c r="A210" s="41">
        <v>232</v>
      </c>
      <c r="B210" s="36">
        <v>58</v>
      </c>
      <c r="C210" s="36">
        <v>66</v>
      </c>
      <c r="D210" s="36">
        <v>18</v>
      </c>
      <c r="E210" s="36">
        <v>68</v>
      </c>
      <c r="F210" s="36">
        <v>56</v>
      </c>
      <c r="G210" s="36">
        <v>101</v>
      </c>
      <c r="H210" s="36">
        <v>34</v>
      </c>
      <c r="I210" s="36">
        <v>96</v>
      </c>
      <c r="J210" s="36">
        <v>0.25</v>
      </c>
    </row>
    <row r="211" spans="1:10" x14ac:dyDescent="0.25">
      <c r="A211" s="41">
        <v>233</v>
      </c>
      <c r="B211" s="36">
        <v>58</v>
      </c>
      <c r="C211" s="36">
        <v>66</v>
      </c>
      <c r="D211" s="36">
        <v>18</v>
      </c>
      <c r="E211" s="36">
        <v>68</v>
      </c>
      <c r="F211" s="36">
        <v>56</v>
      </c>
      <c r="G211" s="36">
        <v>101</v>
      </c>
      <c r="H211" s="36">
        <v>34</v>
      </c>
      <c r="I211" s="36">
        <v>96</v>
      </c>
      <c r="J211" s="36">
        <v>0.25</v>
      </c>
    </row>
    <row r="212" spans="1:10" x14ac:dyDescent="0.25">
      <c r="A212" s="41">
        <v>234</v>
      </c>
      <c r="B212" s="36">
        <v>58</v>
      </c>
      <c r="C212" s="36">
        <v>66</v>
      </c>
      <c r="D212" s="36">
        <v>18</v>
      </c>
      <c r="E212" s="36">
        <v>68</v>
      </c>
      <c r="F212" s="36">
        <v>56</v>
      </c>
      <c r="G212" s="36">
        <v>101</v>
      </c>
      <c r="H212" s="36">
        <v>34</v>
      </c>
      <c r="I212" s="36">
        <v>96</v>
      </c>
      <c r="J212" s="36">
        <v>0.25</v>
      </c>
    </row>
    <row r="213" spans="1:10" x14ac:dyDescent="0.25">
      <c r="A213" s="41">
        <v>235</v>
      </c>
      <c r="B213" s="36">
        <v>58</v>
      </c>
      <c r="C213" s="36">
        <v>66</v>
      </c>
      <c r="D213" s="36">
        <v>18</v>
      </c>
      <c r="E213" s="36">
        <v>68</v>
      </c>
      <c r="F213" s="36">
        <v>56</v>
      </c>
      <c r="G213" s="36">
        <v>101</v>
      </c>
      <c r="H213" s="36">
        <v>34</v>
      </c>
      <c r="I213" s="36">
        <v>96</v>
      </c>
      <c r="J213" s="36">
        <v>0.25</v>
      </c>
    </row>
    <row r="214" spans="1:10" x14ac:dyDescent="0.25">
      <c r="A214" s="41">
        <v>236</v>
      </c>
      <c r="B214" s="36">
        <v>58</v>
      </c>
      <c r="C214" s="36">
        <v>66</v>
      </c>
      <c r="D214" s="36">
        <v>18</v>
      </c>
      <c r="E214" s="36">
        <v>68</v>
      </c>
      <c r="F214" s="36">
        <v>56</v>
      </c>
      <c r="G214" s="36">
        <v>101</v>
      </c>
      <c r="H214" s="36">
        <v>34</v>
      </c>
      <c r="I214" s="36">
        <v>96</v>
      </c>
      <c r="J214" s="36">
        <v>0.25</v>
      </c>
    </row>
    <row r="215" spans="1:10" x14ac:dyDescent="0.25">
      <c r="A215" s="41">
        <v>237</v>
      </c>
      <c r="B215" s="36">
        <v>58</v>
      </c>
      <c r="C215" s="36">
        <v>66</v>
      </c>
      <c r="D215" s="36">
        <v>18</v>
      </c>
      <c r="E215" s="36">
        <v>68</v>
      </c>
      <c r="F215" s="36">
        <v>56</v>
      </c>
      <c r="G215" s="36">
        <v>101</v>
      </c>
      <c r="H215" s="36">
        <v>34</v>
      </c>
      <c r="I215" s="36">
        <v>96</v>
      </c>
      <c r="J215" s="36">
        <v>0.25</v>
      </c>
    </row>
    <row r="216" spans="1:10" x14ac:dyDescent="0.25">
      <c r="A216" s="41">
        <v>238</v>
      </c>
      <c r="B216" s="36">
        <v>58</v>
      </c>
      <c r="C216" s="36">
        <v>66</v>
      </c>
      <c r="D216" s="36">
        <v>18</v>
      </c>
      <c r="E216" s="36">
        <v>68</v>
      </c>
      <c r="F216" s="36">
        <v>56</v>
      </c>
      <c r="G216" s="36">
        <v>101</v>
      </c>
      <c r="H216" s="36">
        <v>34</v>
      </c>
      <c r="I216" s="36">
        <v>96</v>
      </c>
      <c r="J216" s="36">
        <v>0.25</v>
      </c>
    </row>
    <row r="217" spans="1:10" x14ac:dyDescent="0.25">
      <c r="A217" s="41">
        <v>239</v>
      </c>
      <c r="B217" s="36">
        <v>58</v>
      </c>
      <c r="C217" s="36">
        <v>66</v>
      </c>
      <c r="D217" s="36">
        <v>18</v>
      </c>
      <c r="E217" s="36">
        <v>68</v>
      </c>
      <c r="F217" s="36">
        <v>56</v>
      </c>
      <c r="G217" s="36">
        <v>101</v>
      </c>
      <c r="H217" s="36">
        <v>34</v>
      </c>
      <c r="I217" s="36">
        <v>96</v>
      </c>
      <c r="J217" s="36">
        <v>0.25</v>
      </c>
    </row>
    <row r="218" spans="1:10" x14ac:dyDescent="0.25">
      <c r="A218" s="41">
        <v>240</v>
      </c>
      <c r="B218" s="36">
        <v>58</v>
      </c>
      <c r="C218" s="36">
        <v>66</v>
      </c>
      <c r="D218" s="36">
        <v>18</v>
      </c>
      <c r="E218" s="36">
        <v>68</v>
      </c>
      <c r="F218" s="36">
        <v>56</v>
      </c>
      <c r="G218" s="36">
        <v>101</v>
      </c>
      <c r="H218" s="36">
        <v>34</v>
      </c>
      <c r="I218" s="36">
        <v>96</v>
      </c>
      <c r="J218" s="36">
        <v>0.25</v>
      </c>
    </row>
    <row r="219" spans="1:10" x14ac:dyDescent="0.25">
      <c r="A219" s="41">
        <v>241</v>
      </c>
      <c r="B219" s="36">
        <v>58</v>
      </c>
      <c r="C219" s="36">
        <v>66</v>
      </c>
      <c r="D219" s="36">
        <v>18</v>
      </c>
      <c r="E219" s="36">
        <v>68</v>
      </c>
      <c r="F219" s="36">
        <v>56</v>
      </c>
      <c r="G219" s="36">
        <v>101</v>
      </c>
      <c r="H219" s="36">
        <v>34</v>
      </c>
      <c r="I219" s="36">
        <v>96</v>
      </c>
      <c r="J219" s="36">
        <v>0.25</v>
      </c>
    </row>
    <row r="220" spans="1:10" x14ac:dyDescent="0.25">
      <c r="A220" s="41">
        <v>242</v>
      </c>
      <c r="B220" s="36">
        <v>58</v>
      </c>
      <c r="C220" s="36">
        <v>66</v>
      </c>
      <c r="D220" s="36">
        <v>18</v>
      </c>
      <c r="E220" s="36">
        <v>68</v>
      </c>
      <c r="F220" s="36">
        <v>56</v>
      </c>
      <c r="G220" s="36">
        <v>101</v>
      </c>
      <c r="H220" s="36">
        <v>34</v>
      </c>
      <c r="I220" s="36">
        <v>96</v>
      </c>
      <c r="J220" s="36">
        <v>0.25</v>
      </c>
    </row>
    <row r="221" spans="1:10" x14ac:dyDescent="0.25">
      <c r="A221" s="41">
        <v>243</v>
      </c>
      <c r="B221" s="36">
        <v>58</v>
      </c>
      <c r="C221" s="36">
        <v>66</v>
      </c>
      <c r="D221" s="36">
        <v>18</v>
      </c>
      <c r="E221" s="36">
        <v>68</v>
      </c>
      <c r="F221" s="36">
        <v>56</v>
      </c>
      <c r="G221" s="36">
        <v>101</v>
      </c>
      <c r="H221" s="36">
        <v>34</v>
      </c>
      <c r="I221" s="36">
        <v>96</v>
      </c>
      <c r="J221" s="36">
        <v>0.25</v>
      </c>
    </row>
    <row r="222" spans="1:10" x14ac:dyDescent="0.25">
      <c r="A222" s="41">
        <v>244</v>
      </c>
      <c r="B222" s="36">
        <v>58</v>
      </c>
      <c r="C222" s="36">
        <v>66</v>
      </c>
      <c r="D222" s="36">
        <v>18</v>
      </c>
      <c r="E222" s="36">
        <v>68</v>
      </c>
      <c r="F222" s="36">
        <v>56</v>
      </c>
      <c r="G222" s="36">
        <v>101</v>
      </c>
      <c r="H222" s="36">
        <v>34</v>
      </c>
      <c r="I222" s="36">
        <v>96</v>
      </c>
      <c r="J222" s="36">
        <v>0.25</v>
      </c>
    </row>
    <row r="223" spans="1:10" x14ac:dyDescent="0.25">
      <c r="A223" s="41">
        <v>245</v>
      </c>
      <c r="B223" s="36">
        <v>58</v>
      </c>
      <c r="C223" s="36">
        <v>66</v>
      </c>
      <c r="D223" s="36">
        <v>18</v>
      </c>
      <c r="E223" s="36">
        <v>68</v>
      </c>
      <c r="F223" s="36">
        <v>56</v>
      </c>
      <c r="G223" s="36">
        <v>101</v>
      </c>
      <c r="H223" s="36">
        <v>34</v>
      </c>
      <c r="I223" s="36">
        <v>96</v>
      </c>
      <c r="J223" s="36">
        <v>0.25</v>
      </c>
    </row>
    <row r="224" spans="1:10" x14ac:dyDescent="0.25">
      <c r="A224" s="41">
        <v>246</v>
      </c>
      <c r="B224" s="36">
        <v>58</v>
      </c>
      <c r="C224" s="36">
        <v>66</v>
      </c>
      <c r="D224" s="36">
        <v>18</v>
      </c>
      <c r="E224" s="36">
        <v>68</v>
      </c>
      <c r="F224" s="36">
        <v>56</v>
      </c>
      <c r="G224" s="36">
        <v>101</v>
      </c>
      <c r="H224" s="36">
        <v>34</v>
      </c>
      <c r="I224" s="36">
        <v>96</v>
      </c>
      <c r="J224" s="36">
        <v>0.25</v>
      </c>
    </row>
    <row r="225" spans="1:10" x14ac:dyDescent="0.25">
      <c r="A225" s="41">
        <v>247</v>
      </c>
      <c r="B225" s="36">
        <v>58</v>
      </c>
      <c r="C225" s="36">
        <v>66</v>
      </c>
      <c r="D225" s="36">
        <v>18</v>
      </c>
      <c r="E225" s="36">
        <v>68</v>
      </c>
      <c r="F225" s="36">
        <v>56</v>
      </c>
      <c r="G225" s="36">
        <v>101</v>
      </c>
      <c r="H225" s="36">
        <v>34</v>
      </c>
      <c r="I225" s="36">
        <v>96</v>
      </c>
      <c r="J225" s="36">
        <v>0.25</v>
      </c>
    </row>
    <row r="226" spans="1:10" x14ac:dyDescent="0.25">
      <c r="A226" s="41">
        <v>248</v>
      </c>
      <c r="B226" s="36">
        <v>58</v>
      </c>
      <c r="C226" s="36">
        <v>66</v>
      </c>
      <c r="D226" s="36">
        <v>18</v>
      </c>
      <c r="E226" s="36">
        <v>68</v>
      </c>
      <c r="F226" s="36">
        <v>56</v>
      </c>
      <c r="G226" s="36">
        <v>101</v>
      </c>
      <c r="H226" s="36">
        <v>34</v>
      </c>
      <c r="I226" s="36">
        <v>96</v>
      </c>
      <c r="J226" s="36">
        <v>0.25</v>
      </c>
    </row>
    <row r="227" spans="1:10" x14ac:dyDescent="0.25">
      <c r="A227" s="41">
        <v>249</v>
      </c>
      <c r="B227" s="36">
        <v>58</v>
      </c>
      <c r="C227" s="36">
        <v>66</v>
      </c>
      <c r="D227" s="36">
        <v>18</v>
      </c>
      <c r="E227" s="36">
        <v>68</v>
      </c>
      <c r="F227" s="36">
        <v>56</v>
      </c>
      <c r="G227" s="36">
        <v>101</v>
      </c>
      <c r="H227" s="36">
        <v>34</v>
      </c>
      <c r="I227" s="36">
        <v>96</v>
      </c>
      <c r="J227" s="36">
        <v>0.25</v>
      </c>
    </row>
    <row r="228" spans="1:10" x14ac:dyDescent="0.25">
      <c r="A228" s="41">
        <v>250</v>
      </c>
      <c r="B228" s="36">
        <v>58</v>
      </c>
      <c r="C228" s="36">
        <v>66</v>
      </c>
      <c r="D228" s="36">
        <v>18</v>
      </c>
      <c r="E228" s="36">
        <v>68</v>
      </c>
      <c r="F228" s="36">
        <v>56</v>
      </c>
      <c r="G228" s="36">
        <v>101</v>
      </c>
      <c r="H228" s="36">
        <v>34</v>
      </c>
      <c r="I228" s="36">
        <v>96</v>
      </c>
      <c r="J228" s="36">
        <v>0.25</v>
      </c>
    </row>
    <row r="229" spans="1:10" x14ac:dyDescent="0.25">
      <c r="A229" s="41">
        <v>251</v>
      </c>
      <c r="B229" s="36">
        <v>58</v>
      </c>
      <c r="C229" s="36">
        <v>66</v>
      </c>
      <c r="D229" s="36">
        <v>18</v>
      </c>
      <c r="E229" s="36">
        <v>68</v>
      </c>
      <c r="F229" s="36">
        <v>56</v>
      </c>
      <c r="G229" s="36">
        <v>101</v>
      </c>
      <c r="H229" s="36">
        <v>34</v>
      </c>
      <c r="I229" s="36">
        <v>96</v>
      </c>
      <c r="J229" s="36">
        <v>0.25</v>
      </c>
    </row>
    <row r="230" spans="1:10" x14ac:dyDescent="0.25">
      <c r="A230" s="41">
        <v>252</v>
      </c>
      <c r="B230" s="36">
        <v>58</v>
      </c>
      <c r="C230" s="36">
        <v>66</v>
      </c>
      <c r="D230" s="36">
        <v>18</v>
      </c>
      <c r="E230" s="36">
        <v>68</v>
      </c>
      <c r="F230" s="36">
        <v>56</v>
      </c>
      <c r="G230" s="36">
        <v>101</v>
      </c>
      <c r="H230" s="36">
        <v>34</v>
      </c>
      <c r="I230" s="36">
        <v>96</v>
      </c>
      <c r="J230" s="36">
        <v>0.25</v>
      </c>
    </row>
    <row r="231" spans="1:10" x14ac:dyDescent="0.25">
      <c r="A231" s="41">
        <v>253</v>
      </c>
      <c r="B231" s="36">
        <v>58</v>
      </c>
      <c r="C231" s="36">
        <v>66</v>
      </c>
      <c r="D231" s="36">
        <v>18</v>
      </c>
      <c r="E231" s="36">
        <v>68</v>
      </c>
      <c r="F231" s="36">
        <v>56</v>
      </c>
      <c r="G231" s="36">
        <v>101</v>
      </c>
      <c r="H231" s="36">
        <v>34</v>
      </c>
      <c r="I231" s="36">
        <v>96</v>
      </c>
      <c r="J231" s="36">
        <v>0.25</v>
      </c>
    </row>
    <row r="232" spans="1:10" x14ac:dyDescent="0.25">
      <c r="A232" s="41">
        <v>254</v>
      </c>
      <c r="B232" s="36">
        <v>58</v>
      </c>
      <c r="C232" s="36">
        <v>66</v>
      </c>
      <c r="D232" s="36">
        <v>18</v>
      </c>
      <c r="E232" s="36">
        <v>68</v>
      </c>
      <c r="F232" s="36">
        <v>56</v>
      </c>
      <c r="G232" s="36">
        <v>101</v>
      </c>
      <c r="H232" s="36">
        <v>34</v>
      </c>
      <c r="I232" s="36">
        <v>96</v>
      </c>
      <c r="J232" s="36">
        <v>0.25</v>
      </c>
    </row>
    <row r="233" spans="1:10" x14ac:dyDescent="0.25">
      <c r="A233" s="41">
        <v>255</v>
      </c>
      <c r="B233" s="36">
        <v>58</v>
      </c>
      <c r="C233" s="36">
        <v>66</v>
      </c>
      <c r="D233" s="36">
        <v>18</v>
      </c>
      <c r="E233" s="36">
        <v>68</v>
      </c>
      <c r="F233" s="36">
        <v>56</v>
      </c>
      <c r="G233" s="36">
        <v>101</v>
      </c>
      <c r="H233" s="36">
        <v>34</v>
      </c>
      <c r="I233" s="36">
        <v>96</v>
      </c>
      <c r="J233" s="36">
        <v>0.25</v>
      </c>
    </row>
    <row r="234" spans="1:10" x14ac:dyDescent="0.25">
      <c r="A234" s="41">
        <v>256</v>
      </c>
      <c r="B234" s="36">
        <v>58</v>
      </c>
      <c r="C234" s="36">
        <v>66</v>
      </c>
      <c r="D234" s="36">
        <v>18</v>
      </c>
      <c r="E234" s="36">
        <v>68</v>
      </c>
      <c r="F234" s="36">
        <v>56</v>
      </c>
      <c r="G234" s="36">
        <v>101</v>
      </c>
      <c r="H234" s="36">
        <v>34</v>
      </c>
      <c r="I234" s="36">
        <v>96</v>
      </c>
      <c r="J234" s="36">
        <v>0.25</v>
      </c>
    </row>
    <row r="235" spans="1:10" x14ac:dyDescent="0.25">
      <c r="A235" s="41">
        <v>257</v>
      </c>
      <c r="B235" s="36">
        <v>58</v>
      </c>
      <c r="C235" s="36">
        <v>66</v>
      </c>
      <c r="D235" s="36">
        <v>18</v>
      </c>
      <c r="E235" s="36">
        <v>68</v>
      </c>
      <c r="F235" s="36">
        <v>56</v>
      </c>
      <c r="G235" s="36">
        <v>101</v>
      </c>
      <c r="H235" s="36">
        <v>34</v>
      </c>
      <c r="I235" s="36">
        <v>96</v>
      </c>
      <c r="J235" s="36">
        <v>0.25</v>
      </c>
    </row>
    <row r="236" spans="1:10" x14ac:dyDescent="0.25">
      <c r="A236" s="41">
        <v>258</v>
      </c>
      <c r="B236" s="36">
        <v>58</v>
      </c>
      <c r="C236" s="36">
        <v>66</v>
      </c>
      <c r="D236" s="36">
        <v>18</v>
      </c>
      <c r="E236" s="36">
        <v>68</v>
      </c>
      <c r="F236" s="36">
        <v>56</v>
      </c>
      <c r="G236" s="36">
        <v>101</v>
      </c>
      <c r="H236" s="36">
        <v>34</v>
      </c>
      <c r="I236" s="36">
        <v>96</v>
      </c>
      <c r="J236" s="36">
        <v>0.25</v>
      </c>
    </row>
    <row r="237" spans="1:10" x14ac:dyDescent="0.25">
      <c r="A237" s="41">
        <v>259</v>
      </c>
      <c r="B237" s="36">
        <v>58</v>
      </c>
      <c r="C237" s="36">
        <v>66</v>
      </c>
      <c r="D237" s="36">
        <v>18</v>
      </c>
      <c r="E237" s="36">
        <v>68</v>
      </c>
      <c r="F237" s="36">
        <v>56</v>
      </c>
      <c r="G237" s="36">
        <v>101</v>
      </c>
      <c r="H237" s="36">
        <v>34</v>
      </c>
      <c r="I237" s="36">
        <v>96</v>
      </c>
      <c r="J237" s="36">
        <v>0.25</v>
      </c>
    </row>
    <row r="238" spans="1:10" x14ac:dyDescent="0.25">
      <c r="A238" s="41">
        <v>260</v>
      </c>
      <c r="B238" s="36">
        <v>58</v>
      </c>
      <c r="C238" s="36">
        <v>66</v>
      </c>
      <c r="D238" s="36">
        <v>18</v>
      </c>
      <c r="E238" s="36">
        <v>68</v>
      </c>
      <c r="F238" s="36">
        <v>56</v>
      </c>
      <c r="G238" s="36">
        <v>101</v>
      </c>
      <c r="H238" s="36">
        <v>34</v>
      </c>
      <c r="I238" s="36">
        <v>96</v>
      </c>
      <c r="J238" s="36">
        <v>0.25</v>
      </c>
    </row>
    <row r="239" spans="1:10" x14ac:dyDescent="0.25">
      <c r="A239" s="41">
        <v>261</v>
      </c>
      <c r="B239" s="36">
        <v>58</v>
      </c>
      <c r="C239" s="36">
        <v>66</v>
      </c>
      <c r="D239" s="36">
        <v>18</v>
      </c>
      <c r="E239" s="36">
        <v>68</v>
      </c>
      <c r="F239" s="36">
        <v>56</v>
      </c>
      <c r="G239" s="36">
        <v>101</v>
      </c>
      <c r="H239" s="36">
        <v>34</v>
      </c>
      <c r="I239" s="36">
        <v>96</v>
      </c>
      <c r="J239" s="36">
        <v>0.25</v>
      </c>
    </row>
    <row r="240" spans="1:10" x14ac:dyDescent="0.25">
      <c r="A240" s="41">
        <v>262</v>
      </c>
      <c r="B240" s="36">
        <v>58</v>
      </c>
      <c r="C240" s="36">
        <v>66</v>
      </c>
      <c r="D240" s="36">
        <v>18</v>
      </c>
      <c r="E240" s="36">
        <v>68</v>
      </c>
      <c r="F240" s="36">
        <v>56</v>
      </c>
      <c r="G240" s="36">
        <v>101</v>
      </c>
      <c r="H240" s="36">
        <v>34</v>
      </c>
      <c r="I240" s="36">
        <v>96</v>
      </c>
      <c r="J240" s="36">
        <v>0.25</v>
      </c>
    </row>
    <row r="241" spans="1:10" x14ac:dyDescent="0.25">
      <c r="A241" s="41">
        <v>263</v>
      </c>
      <c r="B241" s="36">
        <v>58</v>
      </c>
      <c r="C241" s="36">
        <v>66</v>
      </c>
      <c r="D241" s="36">
        <v>18</v>
      </c>
      <c r="E241" s="36">
        <v>68</v>
      </c>
      <c r="F241" s="36">
        <v>56</v>
      </c>
      <c r="G241" s="36">
        <v>101</v>
      </c>
      <c r="H241" s="36">
        <v>34</v>
      </c>
      <c r="I241" s="36">
        <v>96</v>
      </c>
      <c r="J241" s="36">
        <v>0.25</v>
      </c>
    </row>
    <row r="242" spans="1:10" x14ac:dyDescent="0.25">
      <c r="A242" s="41">
        <v>264</v>
      </c>
      <c r="B242" s="36">
        <v>58</v>
      </c>
      <c r="C242" s="36">
        <v>66</v>
      </c>
      <c r="D242" s="36">
        <v>18</v>
      </c>
      <c r="E242" s="36">
        <v>68</v>
      </c>
      <c r="F242" s="36">
        <v>56</v>
      </c>
      <c r="G242" s="36">
        <v>101</v>
      </c>
      <c r="H242" s="36">
        <v>34</v>
      </c>
      <c r="I242" s="36">
        <v>96</v>
      </c>
      <c r="J242" s="36">
        <v>0.25</v>
      </c>
    </row>
    <row r="243" spans="1:10" x14ac:dyDescent="0.25">
      <c r="A243" s="41">
        <v>265</v>
      </c>
      <c r="B243" s="36">
        <v>58</v>
      </c>
      <c r="C243" s="36">
        <v>66</v>
      </c>
      <c r="D243" s="36">
        <v>18</v>
      </c>
      <c r="E243" s="36">
        <v>68</v>
      </c>
      <c r="F243" s="36">
        <v>56</v>
      </c>
      <c r="G243" s="36">
        <v>101</v>
      </c>
      <c r="H243" s="36">
        <v>34</v>
      </c>
      <c r="I243" s="36">
        <v>96</v>
      </c>
      <c r="J243" s="36">
        <v>0.25</v>
      </c>
    </row>
    <row r="244" spans="1:10" x14ac:dyDescent="0.25">
      <c r="A244" s="41">
        <v>266</v>
      </c>
      <c r="B244" s="36">
        <v>58</v>
      </c>
      <c r="C244" s="36">
        <v>66</v>
      </c>
      <c r="D244" s="36">
        <v>18</v>
      </c>
      <c r="E244" s="36">
        <v>68</v>
      </c>
      <c r="F244" s="36">
        <v>56</v>
      </c>
      <c r="G244" s="36">
        <v>101</v>
      </c>
      <c r="H244" s="36">
        <v>34</v>
      </c>
      <c r="I244" s="36">
        <v>96</v>
      </c>
      <c r="J244" s="36">
        <v>0.25</v>
      </c>
    </row>
    <row r="245" spans="1:10" x14ac:dyDescent="0.25">
      <c r="A245" s="41">
        <v>267</v>
      </c>
      <c r="B245" s="36">
        <v>58</v>
      </c>
      <c r="C245" s="36">
        <v>66</v>
      </c>
      <c r="D245" s="36">
        <v>18</v>
      </c>
      <c r="E245" s="36">
        <v>68</v>
      </c>
      <c r="F245" s="36">
        <v>56</v>
      </c>
      <c r="G245" s="36">
        <v>101</v>
      </c>
      <c r="H245" s="36">
        <v>34</v>
      </c>
      <c r="I245" s="36">
        <v>96</v>
      </c>
      <c r="J245" s="36">
        <v>0.25</v>
      </c>
    </row>
    <row r="246" spans="1:10" x14ac:dyDescent="0.25">
      <c r="A246" s="41">
        <v>268</v>
      </c>
      <c r="B246" s="36">
        <v>58</v>
      </c>
      <c r="C246" s="36">
        <v>66</v>
      </c>
      <c r="D246" s="36">
        <v>18</v>
      </c>
      <c r="E246" s="36">
        <v>68</v>
      </c>
      <c r="F246" s="36">
        <v>56</v>
      </c>
      <c r="G246" s="36">
        <v>101</v>
      </c>
      <c r="H246" s="36">
        <v>34</v>
      </c>
      <c r="I246" s="36">
        <v>96</v>
      </c>
      <c r="J246" s="36">
        <v>0.25</v>
      </c>
    </row>
    <row r="247" spans="1:10" x14ac:dyDescent="0.25">
      <c r="A247" s="41">
        <v>269</v>
      </c>
      <c r="B247" s="36">
        <v>58</v>
      </c>
      <c r="C247" s="36">
        <v>66</v>
      </c>
      <c r="D247" s="36">
        <v>18</v>
      </c>
      <c r="E247" s="36">
        <v>68</v>
      </c>
      <c r="F247" s="36">
        <v>56</v>
      </c>
      <c r="G247" s="36">
        <v>101</v>
      </c>
      <c r="H247" s="36">
        <v>34</v>
      </c>
      <c r="I247" s="36">
        <v>96</v>
      </c>
      <c r="J247" s="36">
        <v>0.25</v>
      </c>
    </row>
    <row r="248" spans="1:10" x14ac:dyDescent="0.25">
      <c r="A248" s="41">
        <v>270</v>
      </c>
      <c r="B248" s="36">
        <v>58</v>
      </c>
      <c r="C248" s="36">
        <v>66</v>
      </c>
      <c r="D248" s="36">
        <v>18</v>
      </c>
      <c r="E248" s="36">
        <v>68</v>
      </c>
      <c r="F248" s="36">
        <v>56</v>
      </c>
      <c r="G248" s="36">
        <v>101</v>
      </c>
      <c r="H248" s="36">
        <v>34</v>
      </c>
      <c r="I248" s="36">
        <v>96</v>
      </c>
      <c r="J248" s="36">
        <v>0.25</v>
      </c>
    </row>
    <row r="249" spans="1:10" x14ac:dyDescent="0.25">
      <c r="A249" s="41">
        <v>271</v>
      </c>
      <c r="B249" s="36">
        <v>58</v>
      </c>
      <c r="C249" s="36">
        <v>66</v>
      </c>
      <c r="D249" s="36">
        <v>18</v>
      </c>
      <c r="E249" s="36">
        <v>68</v>
      </c>
      <c r="F249" s="36">
        <v>56</v>
      </c>
      <c r="G249" s="36">
        <v>101</v>
      </c>
      <c r="H249" s="36">
        <v>34</v>
      </c>
      <c r="I249" s="36">
        <v>96</v>
      </c>
      <c r="J249" s="36">
        <v>0.25</v>
      </c>
    </row>
    <row r="250" spans="1:10" x14ac:dyDescent="0.25">
      <c r="A250" s="41">
        <v>272</v>
      </c>
      <c r="B250" s="36">
        <v>58</v>
      </c>
      <c r="C250" s="36">
        <v>66</v>
      </c>
      <c r="D250" s="36">
        <v>18</v>
      </c>
      <c r="E250" s="36">
        <v>68</v>
      </c>
      <c r="F250" s="36">
        <v>56</v>
      </c>
      <c r="G250" s="36">
        <v>101</v>
      </c>
      <c r="H250" s="36">
        <v>34</v>
      </c>
      <c r="I250" s="36">
        <v>96</v>
      </c>
      <c r="J250" s="36">
        <v>0.25</v>
      </c>
    </row>
    <row r="251" spans="1:10" x14ac:dyDescent="0.25">
      <c r="A251" s="41">
        <v>273</v>
      </c>
      <c r="B251" s="36">
        <v>58</v>
      </c>
      <c r="C251" s="36">
        <v>66</v>
      </c>
      <c r="D251" s="36">
        <v>18</v>
      </c>
      <c r="E251" s="36">
        <v>68</v>
      </c>
      <c r="F251" s="36">
        <v>56</v>
      </c>
      <c r="G251" s="36">
        <v>101</v>
      </c>
      <c r="H251" s="36">
        <v>34</v>
      </c>
      <c r="I251" s="36">
        <v>96</v>
      </c>
      <c r="J251" s="36">
        <v>0.25</v>
      </c>
    </row>
    <row r="252" spans="1:10" x14ac:dyDescent="0.25">
      <c r="A252" s="41">
        <v>274</v>
      </c>
      <c r="B252" s="36">
        <v>58</v>
      </c>
      <c r="C252" s="36">
        <v>66</v>
      </c>
      <c r="D252" s="36">
        <v>18</v>
      </c>
      <c r="E252" s="36">
        <v>68</v>
      </c>
      <c r="F252" s="36">
        <v>56</v>
      </c>
      <c r="G252" s="36">
        <v>101</v>
      </c>
      <c r="H252" s="36">
        <v>34</v>
      </c>
      <c r="I252" s="36">
        <v>96</v>
      </c>
      <c r="J252" s="36">
        <v>0.25</v>
      </c>
    </row>
    <row r="253" spans="1:10" x14ac:dyDescent="0.25">
      <c r="A253" s="41">
        <v>275</v>
      </c>
      <c r="B253" s="36">
        <v>58</v>
      </c>
      <c r="C253" s="36">
        <v>66</v>
      </c>
      <c r="D253" s="36">
        <v>18</v>
      </c>
      <c r="E253" s="36">
        <v>68</v>
      </c>
      <c r="F253" s="36">
        <v>56</v>
      </c>
      <c r="G253" s="36">
        <v>101</v>
      </c>
      <c r="H253" s="36">
        <v>34</v>
      </c>
      <c r="I253" s="36">
        <v>96</v>
      </c>
      <c r="J253" s="36">
        <v>0.25</v>
      </c>
    </row>
    <row r="254" spans="1:10" x14ac:dyDescent="0.25">
      <c r="A254" s="41">
        <v>276</v>
      </c>
      <c r="B254" s="36">
        <v>58</v>
      </c>
      <c r="C254" s="36">
        <v>66</v>
      </c>
      <c r="D254" s="36">
        <v>18</v>
      </c>
      <c r="E254" s="36">
        <v>68</v>
      </c>
      <c r="F254" s="36">
        <v>56</v>
      </c>
      <c r="G254" s="36">
        <v>101</v>
      </c>
      <c r="H254" s="36">
        <v>34</v>
      </c>
      <c r="I254" s="36">
        <v>96</v>
      </c>
      <c r="J254" s="36">
        <v>0.25</v>
      </c>
    </row>
    <row r="255" spans="1:10" x14ac:dyDescent="0.25">
      <c r="A255" s="41">
        <v>277</v>
      </c>
      <c r="B255" s="36">
        <v>58</v>
      </c>
      <c r="C255" s="36">
        <v>66</v>
      </c>
      <c r="D255" s="36">
        <v>18</v>
      </c>
      <c r="E255" s="36">
        <v>68</v>
      </c>
      <c r="F255" s="36">
        <v>56</v>
      </c>
      <c r="G255" s="36">
        <v>101</v>
      </c>
      <c r="H255" s="36">
        <v>34</v>
      </c>
      <c r="I255" s="36">
        <v>96</v>
      </c>
      <c r="J255" s="36">
        <v>0.25</v>
      </c>
    </row>
    <row r="256" spans="1:10" x14ac:dyDescent="0.25">
      <c r="A256" s="41">
        <v>278</v>
      </c>
      <c r="B256" s="36">
        <v>58</v>
      </c>
      <c r="C256" s="36">
        <v>66</v>
      </c>
      <c r="D256" s="36">
        <v>18</v>
      </c>
      <c r="E256" s="36">
        <v>68</v>
      </c>
      <c r="F256" s="36">
        <v>56</v>
      </c>
      <c r="G256" s="36">
        <v>101</v>
      </c>
      <c r="H256" s="36">
        <v>34</v>
      </c>
      <c r="I256" s="36">
        <v>96</v>
      </c>
      <c r="J256" s="36">
        <v>0.25</v>
      </c>
    </row>
    <row r="257" spans="1:10" x14ac:dyDescent="0.25">
      <c r="A257" s="41">
        <v>279</v>
      </c>
      <c r="B257" s="36">
        <v>58</v>
      </c>
      <c r="C257" s="36">
        <v>66</v>
      </c>
      <c r="D257" s="36">
        <v>18</v>
      </c>
      <c r="E257" s="36">
        <v>68</v>
      </c>
      <c r="F257" s="36">
        <v>56</v>
      </c>
      <c r="G257" s="36">
        <v>101</v>
      </c>
      <c r="H257" s="36">
        <v>34</v>
      </c>
      <c r="I257" s="36">
        <v>96</v>
      </c>
      <c r="J257" s="36">
        <v>0.25</v>
      </c>
    </row>
    <row r="258" spans="1:10" x14ac:dyDescent="0.25">
      <c r="A258" s="41">
        <v>280</v>
      </c>
      <c r="B258" s="36">
        <v>58</v>
      </c>
      <c r="C258" s="36">
        <v>66</v>
      </c>
      <c r="D258" s="36">
        <v>18</v>
      </c>
      <c r="E258" s="36">
        <v>68</v>
      </c>
      <c r="F258" s="36">
        <v>56</v>
      </c>
      <c r="G258" s="36">
        <v>101</v>
      </c>
      <c r="H258" s="36">
        <v>34</v>
      </c>
      <c r="I258" s="36">
        <v>96</v>
      </c>
      <c r="J258" s="36">
        <v>0.25</v>
      </c>
    </row>
    <row r="259" spans="1:10" x14ac:dyDescent="0.25">
      <c r="A259" s="41">
        <v>281</v>
      </c>
      <c r="B259" s="36">
        <v>58</v>
      </c>
      <c r="C259" s="36">
        <v>66</v>
      </c>
      <c r="D259" s="36">
        <v>18</v>
      </c>
      <c r="E259" s="36">
        <v>68</v>
      </c>
      <c r="F259" s="36">
        <v>56</v>
      </c>
      <c r="G259" s="36">
        <v>101</v>
      </c>
      <c r="H259" s="36">
        <v>34</v>
      </c>
      <c r="I259" s="36">
        <v>96</v>
      </c>
      <c r="J259" s="36">
        <v>0.25</v>
      </c>
    </row>
    <row r="260" spans="1:10" x14ac:dyDescent="0.25">
      <c r="A260" s="41">
        <v>282</v>
      </c>
      <c r="B260" s="36">
        <v>58</v>
      </c>
      <c r="C260" s="36">
        <v>66</v>
      </c>
      <c r="D260" s="36">
        <v>18</v>
      </c>
      <c r="E260" s="36">
        <v>68</v>
      </c>
      <c r="F260" s="36">
        <v>56</v>
      </c>
      <c r="G260" s="36">
        <v>101</v>
      </c>
      <c r="H260" s="36">
        <v>34</v>
      </c>
      <c r="I260" s="36">
        <v>96</v>
      </c>
      <c r="J260" s="36">
        <v>0.25</v>
      </c>
    </row>
    <row r="261" spans="1:10" x14ac:dyDescent="0.25">
      <c r="A261" s="41">
        <v>283</v>
      </c>
      <c r="B261" s="36">
        <v>58</v>
      </c>
      <c r="C261" s="36">
        <v>66</v>
      </c>
      <c r="D261" s="36">
        <v>18</v>
      </c>
      <c r="E261" s="36">
        <v>68</v>
      </c>
      <c r="F261" s="36">
        <v>56</v>
      </c>
      <c r="G261" s="36">
        <v>101</v>
      </c>
      <c r="H261" s="36">
        <v>34</v>
      </c>
      <c r="I261" s="36">
        <v>96</v>
      </c>
      <c r="J261" s="36">
        <v>0.25</v>
      </c>
    </row>
    <row r="262" spans="1:10" x14ac:dyDescent="0.25">
      <c r="A262" s="41">
        <v>284</v>
      </c>
      <c r="B262" s="36">
        <v>58</v>
      </c>
      <c r="C262" s="36">
        <v>66</v>
      </c>
      <c r="D262" s="36">
        <v>18</v>
      </c>
      <c r="E262" s="36">
        <v>68</v>
      </c>
      <c r="F262" s="36">
        <v>56</v>
      </c>
      <c r="G262" s="36">
        <v>101</v>
      </c>
      <c r="H262" s="36">
        <v>34</v>
      </c>
      <c r="I262" s="36">
        <v>96</v>
      </c>
      <c r="J262" s="36">
        <v>0.25</v>
      </c>
    </row>
    <row r="263" spans="1:10" x14ac:dyDescent="0.25">
      <c r="A263" s="41">
        <v>285</v>
      </c>
      <c r="B263" s="36">
        <v>58</v>
      </c>
      <c r="C263" s="36">
        <v>66</v>
      </c>
      <c r="D263" s="36">
        <v>18</v>
      </c>
      <c r="E263" s="36">
        <v>68</v>
      </c>
      <c r="F263" s="36">
        <v>56</v>
      </c>
      <c r="G263" s="36">
        <v>101</v>
      </c>
      <c r="H263" s="36">
        <v>34</v>
      </c>
      <c r="I263" s="36">
        <v>96</v>
      </c>
      <c r="J263" s="36">
        <v>0.25</v>
      </c>
    </row>
    <row r="264" spans="1:10" x14ac:dyDescent="0.25">
      <c r="A264" s="41">
        <v>286</v>
      </c>
      <c r="B264" s="36">
        <v>58</v>
      </c>
      <c r="C264" s="36">
        <v>66</v>
      </c>
      <c r="D264" s="36">
        <v>18</v>
      </c>
      <c r="E264" s="36">
        <v>68</v>
      </c>
      <c r="F264" s="36">
        <v>56</v>
      </c>
      <c r="G264" s="36">
        <v>101</v>
      </c>
      <c r="H264" s="36">
        <v>34</v>
      </c>
      <c r="I264" s="36">
        <v>96</v>
      </c>
      <c r="J264" s="36">
        <v>0.25</v>
      </c>
    </row>
    <row r="265" spans="1:10" x14ac:dyDescent="0.25">
      <c r="A265" s="41">
        <v>287</v>
      </c>
      <c r="B265" s="36">
        <v>58</v>
      </c>
      <c r="C265" s="36">
        <v>66</v>
      </c>
      <c r="D265" s="36">
        <v>18</v>
      </c>
      <c r="E265" s="36">
        <v>68</v>
      </c>
      <c r="F265" s="36">
        <v>56</v>
      </c>
      <c r="G265" s="36">
        <v>101</v>
      </c>
      <c r="H265" s="36">
        <v>34</v>
      </c>
      <c r="I265" s="36">
        <v>96</v>
      </c>
      <c r="J265" s="36">
        <v>0.25</v>
      </c>
    </row>
    <row r="266" spans="1:10" x14ac:dyDescent="0.25">
      <c r="A266" s="41">
        <v>288</v>
      </c>
      <c r="B266" s="36">
        <v>58</v>
      </c>
      <c r="C266" s="36">
        <v>66</v>
      </c>
      <c r="D266" s="36">
        <v>18</v>
      </c>
      <c r="E266" s="36">
        <v>68</v>
      </c>
      <c r="F266" s="36">
        <v>56</v>
      </c>
      <c r="G266" s="36">
        <v>101</v>
      </c>
      <c r="H266" s="36">
        <v>34</v>
      </c>
      <c r="I266" s="36">
        <v>96</v>
      </c>
      <c r="J266" s="36">
        <v>0.25</v>
      </c>
    </row>
    <row r="267" spans="1:10" x14ac:dyDescent="0.25">
      <c r="A267" s="41">
        <v>289</v>
      </c>
      <c r="B267" s="36">
        <v>58</v>
      </c>
      <c r="C267" s="36">
        <v>66</v>
      </c>
      <c r="D267" s="36">
        <v>18</v>
      </c>
      <c r="E267" s="36">
        <v>68</v>
      </c>
      <c r="F267" s="36">
        <v>56</v>
      </c>
      <c r="G267" s="36">
        <v>101</v>
      </c>
      <c r="H267" s="36">
        <v>34</v>
      </c>
      <c r="I267" s="36">
        <v>96</v>
      </c>
      <c r="J267" s="36">
        <v>0.25</v>
      </c>
    </row>
    <row r="268" spans="1:10" x14ac:dyDescent="0.25">
      <c r="A268" s="41">
        <v>290</v>
      </c>
      <c r="B268" s="36">
        <v>58</v>
      </c>
      <c r="C268" s="36">
        <v>66</v>
      </c>
      <c r="D268" s="36">
        <v>18</v>
      </c>
      <c r="E268" s="36">
        <v>68</v>
      </c>
      <c r="F268" s="36">
        <v>56</v>
      </c>
      <c r="G268" s="36">
        <v>101</v>
      </c>
      <c r="H268" s="36">
        <v>34</v>
      </c>
      <c r="I268" s="36">
        <v>96</v>
      </c>
      <c r="J268" s="36">
        <v>0.25</v>
      </c>
    </row>
    <row r="269" spans="1:10" x14ac:dyDescent="0.25">
      <c r="A269" s="41">
        <v>291</v>
      </c>
      <c r="B269" s="36">
        <v>58</v>
      </c>
      <c r="C269" s="36">
        <v>66</v>
      </c>
      <c r="D269" s="36">
        <v>18</v>
      </c>
      <c r="E269" s="36">
        <v>68</v>
      </c>
      <c r="F269" s="36">
        <v>56</v>
      </c>
      <c r="G269" s="36">
        <v>101</v>
      </c>
      <c r="H269" s="36">
        <v>34</v>
      </c>
      <c r="I269" s="36">
        <v>96</v>
      </c>
      <c r="J269" s="36">
        <v>0.25</v>
      </c>
    </row>
    <row r="270" spans="1:10" x14ac:dyDescent="0.25">
      <c r="A270" s="41">
        <v>292</v>
      </c>
      <c r="B270" s="36">
        <v>58</v>
      </c>
      <c r="C270" s="36">
        <v>66</v>
      </c>
      <c r="D270" s="36">
        <v>18</v>
      </c>
      <c r="E270" s="36">
        <v>68</v>
      </c>
      <c r="F270" s="36">
        <v>56</v>
      </c>
      <c r="G270" s="36">
        <v>101</v>
      </c>
      <c r="H270" s="36">
        <v>34</v>
      </c>
      <c r="I270" s="36">
        <v>96</v>
      </c>
      <c r="J270" s="36">
        <v>0.25</v>
      </c>
    </row>
    <row r="271" spans="1:10" x14ac:dyDescent="0.25">
      <c r="A271" s="41">
        <v>293</v>
      </c>
      <c r="B271" s="36">
        <v>58</v>
      </c>
      <c r="C271" s="36">
        <v>66</v>
      </c>
      <c r="D271" s="36">
        <v>18</v>
      </c>
      <c r="E271" s="36">
        <v>68</v>
      </c>
      <c r="F271" s="36">
        <v>56</v>
      </c>
      <c r="G271" s="36">
        <v>101</v>
      </c>
      <c r="H271" s="36">
        <v>34</v>
      </c>
      <c r="I271" s="36">
        <v>96</v>
      </c>
      <c r="J271" s="36">
        <v>0.25</v>
      </c>
    </row>
    <row r="272" spans="1:10" x14ac:dyDescent="0.25">
      <c r="A272" s="41">
        <v>294</v>
      </c>
      <c r="B272" s="36">
        <v>58</v>
      </c>
      <c r="C272" s="36">
        <v>66</v>
      </c>
      <c r="D272" s="36">
        <v>18</v>
      </c>
      <c r="E272" s="36">
        <v>68</v>
      </c>
      <c r="F272" s="36">
        <v>56</v>
      </c>
      <c r="G272" s="36">
        <v>101</v>
      </c>
      <c r="H272" s="36">
        <v>34</v>
      </c>
      <c r="I272" s="36">
        <v>96</v>
      </c>
      <c r="J272" s="36">
        <v>0.25</v>
      </c>
    </row>
    <row r="273" spans="1:10" x14ac:dyDescent="0.25">
      <c r="A273" s="41">
        <v>295</v>
      </c>
      <c r="B273" s="36">
        <v>58</v>
      </c>
      <c r="C273" s="36">
        <v>66</v>
      </c>
      <c r="D273" s="36">
        <v>18</v>
      </c>
      <c r="E273" s="36">
        <v>68</v>
      </c>
      <c r="F273" s="36">
        <v>56</v>
      </c>
      <c r="G273" s="36">
        <v>101</v>
      </c>
      <c r="H273" s="36">
        <v>34</v>
      </c>
      <c r="I273" s="36">
        <v>96</v>
      </c>
      <c r="J273" s="36">
        <v>0.25</v>
      </c>
    </row>
    <row r="274" spans="1:10" x14ac:dyDescent="0.25">
      <c r="A274" s="41">
        <v>296</v>
      </c>
      <c r="B274" s="36">
        <v>58</v>
      </c>
      <c r="C274" s="36">
        <v>66</v>
      </c>
      <c r="D274" s="36">
        <v>18</v>
      </c>
      <c r="E274" s="36">
        <v>68</v>
      </c>
      <c r="F274" s="36">
        <v>56</v>
      </c>
      <c r="G274" s="36">
        <v>101</v>
      </c>
      <c r="H274" s="36">
        <v>34</v>
      </c>
      <c r="I274" s="36">
        <v>96</v>
      </c>
      <c r="J274" s="36">
        <v>0.25</v>
      </c>
    </row>
    <row r="275" spans="1:10" x14ac:dyDescent="0.25">
      <c r="A275" s="41">
        <v>297</v>
      </c>
      <c r="B275" s="36">
        <v>58</v>
      </c>
      <c r="C275" s="36">
        <v>66</v>
      </c>
      <c r="D275" s="36">
        <v>18</v>
      </c>
      <c r="E275" s="36">
        <v>68</v>
      </c>
      <c r="F275" s="36">
        <v>56</v>
      </c>
      <c r="G275" s="36">
        <v>101</v>
      </c>
      <c r="H275" s="36">
        <v>34</v>
      </c>
      <c r="I275" s="36">
        <v>96</v>
      </c>
      <c r="J275" s="36">
        <v>0.25</v>
      </c>
    </row>
    <row r="276" spans="1:10" x14ac:dyDescent="0.25">
      <c r="A276" s="41">
        <v>298</v>
      </c>
      <c r="B276" s="36">
        <v>58</v>
      </c>
      <c r="C276" s="36">
        <v>66</v>
      </c>
      <c r="D276" s="36">
        <v>18</v>
      </c>
      <c r="E276" s="36">
        <v>68</v>
      </c>
      <c r="F276" s="36">
        <v>56</v>
      </c>
      <c r="G276" s="36">
        <v>101</v>
      </c>
      <c r="H276" s="36">
        <v>34</v>
      </c>
      <c r="I276" s="36">
        <v>96</v>
      </c>
      <c r="J276" s="36">
        <v>0.25</v>
      </c>
    </row>
    <row r="277" spans="1:10" x14ac:dyDescent="0.25">
      <c r="A277" s="41">
        <v>299</v>
      </c>
      <c r="B277" s="36">
        <v>58</v>
      </c>
      <c r="C277" s="36">
        <v>66</v>
      </c>
      <c r="D277" s="36">
        <v>18</v>
      </c>
      <c r="E277" s="36">
        <v>68</v>
      </c>
      <c r="F277" s="36">
        <v>56</v>
      </c>
      <c r="G277" s="36">
        <v>101</v>
      </c>
      <c r="H277" s="36">
        <v>34</v>
      </c>
      <c r="I277" s="36">
        <v>96</v>
      </c>
      <c r="J277" s="36">
        <v>0.25</v>
      </c>
    </row>
    <row r="278" spans="1:10" x14ac:dyDescent="0.25">
      <c r="A278" s="41">
        <v>300</v>
      </c>
      <c r="B278" s="36">
        <v>58</v>
      </c>
      <c r="C278" s="36">
        <v>66</v>
      </c>
      <c r="D278" s="36">
        <v>18</v>
      </c>
      <c r="E278" s="36">
        <v>68</v>
      </c>
      <c r="F278" s="36">
        <v>56</v>
      </c>
      <c r="G278" s="36">
        <v>101</v>
      </c>
      <c r="H278" s="36">
        <v>34</v>
      </c>
      <c r="I278" s="36">
        <v>96</v>
      </c>
      <c r="J278" s="36">
        <v>0.25</v>
      </c>
    </row>
    <row r="279" spans="1:10" x14ac:dyDescent="0.25">
      <c r="A279" s="41">
        <v>301</v>
      </c>
      <c r="B279" s="36">
        <v>58</v>
      </c>
      <c r="C279" s="36">
        <v>66</v>
      </c>
      <c r="D279" s="36">
        <v>18</v>
      </c>
      <c r="E279" s="36">
        <v>68</v>
      </c>
      <c r="F279" s="36">
        <v>56</v>
      </c>
      <c r="G279" s="36">
        <v>101</v>
      </c>
      <c r="H279" s="36">
        <v>34</v>
      </c>
      <c r="I279" s="36">
        <v>96</v>
      </c>
      <c r="J279" s="36">
        <v>0.25</v>
      </c>
    </row>
    <row r="280" spans="1:10" x14ac:dyDescent="0.25">
      <c r="A280" s="41">
        <v>302</v>
      </c>
      <c r="B280" s="36">
        <v>58</v>
      </c>
      <c r="C280" s="36">
        <v>66</v>
      </c>
      <c r="D280" s="36">
        <v>18</v>
      </c>
      <c r="E280" s="36">
        <v>68</v>
      </c>
      <c r="F280" s="36">
        <v>56</v>
      </c>
      <c r="G280" s="36">
        <v>101</v>
      </c>
      <c r="H280" s="36">
        <v>34</v>
      </c>
      <c r="I280" s="36">
        <v>96</v>
      </c>
      <c r="J280" s="36">
        <v>0.25</v>
      </c>
    </row>
    <row r="281" spans="1:10" x14ac:dyDescent="0.25">
      <c r="A281" s="41">
        <v>303</v>
      </c>
      <c r="B281" s="36">
        <v>58</v>
      </c>
      <c r="C281" s="36">
        <v>66</v>
      </c>
      <c r="D281" s="36">
        <v>18</v>
      </c>
      <c r="E281" s="36">
        <v>68</v>
      </c>
      <c r="F281" s="36">
        <v>56</v>
      </c>
      <c r="G281" s="36">
        <v>101</v>
      </c>
      <c r="H281" s="36">
        <v>34</v>
      </c>
      <c r="I281" s="36">
        <v>96</v>
      </c>
      <c r="J281" s="36">
        <v>0.25</v>
      </c>
    </row>
    <row r="282" spans="1:10" x14ac:dyDescent="0.25">
      <c r="A282" s="41">
        <v>304</v>
      </c>
      <c r="B282" s="36">
        <v>58</v>
      </c>
      <c r="C282" s="36">
        <v>66</v>
      </c>
      <c r="D282" s="36">
        <v>18</v>
      </c>
      <c r="E282" s="36">
        <v>68</v>
      </c>
      <c r="F282" s="36">
        <v>56</v>
      </c>
      <c r="G282" s="36">
        <v>101</v>
      </c>
      <c r="H282" s="36">
        <v>34</v>
      </c>
      <c r="I282" s="36">
        <v>96</v>
      </c>
      <c r="J282" s="36">
        <v>0.25</v>
      </c>
    </row>
    <row r="283" spans="1:10" x14ac:dyDescent="0.25">
      <c r="A283" s="41">
        <v>305</v>
      </c>
      <c r="B283" s="36">
        <v>58</v>
      </c>
      <c r="C283" s="36">
        <v>66</v>
      </c>
      <c r="D283" s="36">
        <v>18</v>
      </c>
      <c r="E283" s="36">
        <v>68</v>
      </c>
      <c r="F283" s="36">
        <v>56</v>
      </c>
      <c r="G283" s="36">
        <v>101</v>
      </c>
      <c r="H283" s="36">
        <v>34</v>
      </c>
      <c r="I283" s="36">
        <v>96</v>
      </c>
      <c r="J283" s="36">
        <v>0.25</v>
      </c>
    </row>
    <row r="284" spans="1:10" x14ac:dyDescent="0.25">
      <c r="A284" s="41">
        <v>306</v>
      </c>
      <c r="B284" s="36">
        <v>58</v>
      </c>
      <c r="C284" s="36">
        <v>66</v>
      </c>
      <c r="D284" s="36">
        <v>18</v>
      </c>
      <c r="E284" s="36">
        <v>68</v>
      </c>
      <c r="F284" s="36">
        <v>56</v>
      </c>
      <c r="G284" s="36">
        <v>101</v>
      </c>
      <c r="H284" s="36">
        <v>34</v>
      </c>
      <c r="I284" s="36">
        <v>96</v>
      </c>
      <c r="J284" s="36">
        <v>0.25</v>
      </c>
    </row>
    <row r="285" spans="1:10" x14ac:dyDescent="0.25">
      <c r="A285" s="41">
        <v>307</v>
      </c>
      <c r="B285" s="36">
        <v>58</v>
      </c>
      <c r="C285" s="36">
        <v>66</v>
      </c>
      <c r="D285" s="36">
        <v>18</v>
      </c>
      <c r="E285" s="36">
        <v>68</v>
      </c>
      <c r="F285" s="36">
        <v>56</v>
      </c>
      <c r="G285" s="36">
        <v>101</v>
      </c>
      <c r="H285" s="36">
        <v>34</v>
      </c>
      <c r="I285" s="36">
        <v>96</v>
      </c>
      <c r="J285" s="36">
        <v>0.25</v>
      </c>
    </row>
    <row r="286" spans="1:10" x14ac:dyDescent="0.25">
      <c r="A286" s="41">
        <v>308</v>
      </c>
      <c r="B286" s="36">
        <v>58</v>
      </c>
      <c r="C286" s="36">
        <v>66</v>
      </c>
      <c r="D286" s="36">
        <v>18</v>
      </c>
      <c r="E286" s="36">
        <v>68</v>
      </c>
      <c r="F286" s="36">
        <v>56</v>
      </c>
      <c r="G286" s="36">
        <v>101</v>
      </c>
      <c r="H286" s="36">
        <v>34</v>
      </c>
      <c r="I286" s="36">
        <v>96</v>
      </c>
      <c r="J286" s="36">
        <v>0.25</v>
      </c>
    </row>
    <row r="287" spans="1:10" x14ac:dyDescent="0.25">
      <c r="A287" s="41">
        <v>309</v>
      </c>
      <c r="B287" s="36">
        <v>58</v>
      </c>
      <c r="C287" s="36">
        <v>66</v>
      </c>
      <c r="D287" s="36">
        <v>18</v>
      </c>
      <c r="E287" s="36">
        <v>68</v>
      </c>
      <c r="F287" s="36">
        <v>56</v>
      </c>
      <c r="G287" s="36">
        <v>101</v>
      </c>
      <c r="H287" s="36">
        <v>34</v>
      </c>
      <c r="I287" s="36">
        <v>96</v>
      </c>
      <c r="J287" s="36">
        <v>0.25</v>
      </c>
    </row>
    <row r="288" spans="1:10" x14ac:dyDescent="0.25">
      <c r="A288" s="41">
        <v>310</v>
      </c>
      <c r="B288" s="36">
        <v>58</v>
      </c>
      <c r="C288" s="36">
        <v>66</v>
      </c>
      <c r="D288" s="36">
        <v>18</v>
      </c>
      <c r="E288" s="36">
        <v>68</v>
      </c>
      <c r="F288" s="36">
        <v>56</v>
      </c>
      <c r="G288" s="36">
        <v>101</v>
      </c>
      <c r="H288" s="36">
        <v>34</v>
      </c>
      <c r="I288" s="36">
        <v>96</v>
      </c>
      <c r="J288" s="36">
        <v>0.25</v>
      </c>
    </row>
    <row r="289" spans="1:10" x14ac:dyDescent="0.25">
      <c r="A289" s="41">
        <v>311</v>
      </c>
      <c r="B289" s="36">
        <v>58</v>
      </c>
      <c r="C289" s="36">
        <v>66</v>
      </c>
      <c r="D289" s="36">
        <v>18</v>
      </c>
      <c r="E289" s="36">
        <v>68</v>
      </c>
      <c r="F289" s="36">
        <v>56</v>
      </c>
      <c r="G289" s="36">
        <v>101</v>
      </c>
      <c r="H289" s="36">
        <v>34</v>
      </c>
      <c r="I289" s="36">
        <v>96</v>
      </c>
      <c r="J289" s="36">
        <v>0.25</v>
      </c>
    </row>
    <row r="290" spans="1:10" x14ac:dyDescent="0.25">
      <c r="A290" s="41">
        <v>312</v>
      </c>
      <c r="B290" s="36">
        <v>58</v>
      </c>
      <c r="C290" s="36">
        <v>66</v>
      </c>
      <c r="D290" s="36">
        <v>18</v>
      </c>
      <c r="E290" s="36">
        <v>68</v>
      </c>
      <c r="F290" s="36">
        <v>56</v>
      </c>
      <c r="G290" s="36">
        <v>101</v>
      </c>
      <c r="H290" s="36">
        <v>34</v>
      </c>
      <c r="I290" s="36">
        <v>96</v>
      </c>
      <c r="J290" s="36">
        <v>0.25</v>
      </c>
    </row>
    <row r="291" spans="1:10" x14ac:dyDescent="0.25">
      <c r="A291" s="41">
        <v>313</v>
      </c>
      <c r="B291" s="36">
        <v>58</v>
      </c>
      <c r="C291" s="36">
        <v>66</v>
      </c>
      <c r="D291" s="36">
        <v>18</v>
      </c>
      <c r="E291" s="36">
        <v>68</v>
      </c>
      <c r="F291" s="36">
        <v>56</v>
      </c>
      <c r="G291" s="36">
        <v>101</v>
      </c>
      <c r="H291" s="36">
        <v>34</v>
      </c>
      <c r="I291" s="36">
        <v>96</v>
      </c>
      <c r="J291" s="36">
        <v>0.25</v>
      </c>
    </row>
    <row r="292" spans="1:10" x14ac:dyDescent="0.25">
      <c r="A292" s="41">
        <v>314</v>
      </c>
      <c r="B292" s="36">
        <v>58</v>
      </c>
      <c r="C292" s="36">
        <v>66</v>
      </c>
      <c r="D292" s="36">
        <v>18</v>
      </c>
      <c r="E292" s="36">
        <v>68</v>
      </c>
      <c r="F292" s="36">
        <v>56</v>
      </c>
      <c r="G292" s="36">
        <v>101</v>
      </c>
      <c r="H292" s="36">
        <v>34</v>
      </c>
      <c r="I292" s="36">
        <v>96</v>
      </c>
      <c r="J292" s="36">
        <v>0.25</v>
      </c>
    </row>
    <row r="293" spans="1:10" x14ac:dyDescent="0.25">
      <c r="A293" s="41">
        <v>315</v>
      </c>
      <c r="B293" s="36">
        <v>58</v>
      </c>
      <c r="C293" s="36">
        <v>66</v>
      </c>
      <c r="D293" s="36">
        <v>18</v>
      </c>
      <c r="E293" s="36">
        <v>68</v>
      </c>
      <c r="F293" s="36">
        <v>56</v>
      </c>
      <c r="G293" s="36">
        <v>101</v>
      </c>
      <c r="H293" s="36">
        <v>34</v>
      </c>
      <c r="I293" s="36">
        <v>96</v>
      </c>
      <c r="J293" s="36">
        <v>0.25</v>
      </c>
    </row>
    <row r="294" spans="1:10" x14ac:dyDescent="0.25">
      <c r="A294" s="41">
        <v>316</v>
      </c>
      <c r="B294" s="36">
        <v>58</v>
      </c>
      <c r="C294" s="36">
        <v>66</v>
      </c>
      <c r="D294" s="36">
        <v>18</v>
      </c>
      <c r="E294" s="36">
        <v>68</v>
      </c>
      <c r="F294" s="36">
        <v>56</v>
      </c>
      <c r="G294" s="36">
        <v>101</v>
      </c>
      <c r="H294" s="36">
        <v>34</v>
      </c>
      <c r="I294" s="36">
        <v>96</v>
      </c>
      <c r="J294" s="36">
        <v>0.25</v>
      </c>
    </row>
    <row r="295" spans="1:10" x14ac:dyDescent="0.25">
      <c r="A295" s="41">
        <v>317</v>
      </c>
      <c r="B295" s="36">
        <v>58</v>
      </c>
      <c r="C295" s="36">
        <v>66</v>
      </c>
      <c r="D295" s="36">
        <v>18</v>
      </c>
      <c r="E295" s="36">
        <v>68</v>
      </c>
      <c r="F295" s="36">
        <v>56</v>
      </c>
      <c r="G295" s="36">
        <v>101</v>
      </c>
      <c r="H295" s="36">
        <v>34</v>
      </c>
      <c r="I295" s="36">
        <v>96</v>
      </c>
      <c r="J295" s="36">
        <v>0.25</v>
      </c>
    </row>
    <row r="296" spans="1:10" x14ac:dyDescent="0.25">
      <c r="A296" s="41">
        <v>318</v>
      </c>
      <c r="B296" s="36">
        <v>58</v>
      </c>
      <c r="C296" s="36">
        <v>66</v>
      </c>
      <c r="D296" s="36">
        <v>18</v>
      </c>
      <c r="E296" s="36">
        <v>68</v>
      </c>
      <c r="F296" s="36">
        <v>56</v>
      </c>
      <c r="G296" s="36">
        <v>101</v>
      </c>
      <c r="H296" s="36">
        <v>34</v>
      </c>
      <c r="I296" s="36">
        <v>96</v>
      </c>
      <c r="J296" s="36">
        <v>0.25</v>
      </c>
    </row>
    <row r="297" spans="1:10" x14ac:dyDescent="0.25">
      <c r="A297" s="41">
        <v>319</v>
      </c>
      <c r="B297" s="36">
        <v>58</v>
      </c>
      <c r="C297" s="36">
        <v>66</v>
      </c>
      <c r="D297" s="36">
        <v>18</v>
      </c>
      <c r="E297" s="36">
        <v>68</v>
      </c>
      <c r="F297" s="36">
        <v>56</v>
      </c>
      <c r="G297" s="36">
        <v>101</v>
      </c>
      <c r="H297" s="36">
        <v>34</v>
      </c>
      <c r="I297" s="36">
        <v>96</v>
      </c>
      <c r="J297" s="36">
        <v>0.25</v>
      </c>
    </row>
    <row r="298" spans="1:10" x14ac:dyDescent="0.25">
      <c r="A298" s="41">
        <v>320</v>
      </c>
      <c r="B298" s="36">
        <v>58</v>
      </c>
      <c r="C298" s="36">
        <v>66</v>
      </c>
      <c r="D298" s="36">
        <v>18</v>
      </c>
      <c r="E298" s="36">
        <v>68</v>
      </c>
      <c r="F298" s="36">
        <v>56</v>
      </c>
      <c r="G298" s="36">
        <v>101</v>
      </c>
      <c r="H298" s="36">
        <v>34</v>
      </c>
      <c r="I298" s="36">
        <v>96</v>
      </c>
      <c r="J298" s="36">
        <v>0.25</v>
      </c>
    </row>
    <row r="299" spans="1:10" x14ac:dyDescent="0.25">
      <c r="A299" s="41">
        <v>321</v>
      </c>
      <c r="B299" s="36">
        <v>58</v>
      </c>
      <c r="C299" s="36">
        <v>66</v>
      </c>
      <c r="D299" s="36">
        <v>18</v>
      </c>
      <c r="E299" s="36">
        <v>68</v>
      </c>
      <c r="F299" s="36">
        <v>56</v>
      </c>
      <c r="G299" s="36">
        <v>101</v>
      </c>
      <c r="H299" s="36">
        <v>34</v>
      </c>
      <c r="I299" s="36">
        <v>96</v>
      </c>
      <c r="J299" s="36">
        <v>0.25</v>
      </c>
    </row>
    <row r="300" spans="1:10" x14ac:dyDescent="0.25">
      <c r="A300" s="41">
        <v>322</v>
      </c>
      <c r="B300" s="36">
        <v>58</v>
      </c>
      <c r="C300" s="36">
        <v>66</v>
      </c>
      <c r="D300" s="36">
        <v>18</v>
      </c>
      <c r="E300" s="36">
        <v>68</v>
      </c>
      <c r="F300" s="36">
        <v>56</v>
      </c>
      <c r="G300" s="36">
        <v>101</v>
      </c>
      <c r="H300" s="36">
        <v>34</v>
      </c>
      <c r="I300" s="36">
        <v>96</v>
      </c>
      <c r="J300" s="36">
        <v>0.25</v>
      </c>
    </row>
    <row r="301" spans="1:10" x14ac:dyDescent="0.25">
      <c r="A301" s="41">
        <v>323</v>
      </c>
      <c r="B301" s="36">
        <v>58</v>
      </c>
      <c r="C301" s="36">
        <v>66</v>
      </c>
      <c r="D301" s="36">
        <v>18</v>
      </c>
      <c r="E301" s="36">
        <v>68</v>
      </c>
      <c r="F301" s="36">
        <v>56</v>
      </c>
      <c r="G301" s="36">
        <v>101</v>
      </c>
      <c r="H301" s="36">
        <v>34</v>
      </c>
      <c r="I301" s="36">
        <v>96</v>
      </c>
      <c r="J301" s="36">
        <v>0.25</v>
      </c>
    </row>
    <row r="302" spans="1:10" x14ac:dyDescent="0.25">
      <c r="A302" s="41">
        <v>324</v>
      </c>
      <c r="B302" s="36">
        <v>58</v>
      </c>
      <c r="C302" s="36">
        <v>66</v>
      </c>
      <c r="D302" s="36">
        <v>18</v>
      </c>
      <c r="E302" s="36">
        <v>68</v>
      </c>
      <c r="F302" s="36">
        <v>56</v>
      </c>
      <c r="G302" s="36">
        <v>101</v>
      </c>
      <c r="H302" s="36">
        <v>34</v>
      </c>
      <c r="I302" s="36">
        <v>96</v>
      </c>
      <c r="J302" s="36">
        <v>0.25</v>
      </c>
    </row>
    <row r="303" spans="1:10" x14ac:dyDescent="0.25">
      <c r="A303" s="41">
        <v>325</v>
      </c>
      <c r="B303" s="36">
        <v>58</v>
      </c>
      <c r="C303" s="36">
        <v>66</v>
      </c>
      <c r="D303" s="36">
        <v>18</v>
      </c>
      <c r="E303" s="36">
        <v>68</v>
      </c>
      <c r="F303" s="36">
        <v>56</v>
      </c>
      <c r="G303" s="36">
        <v>101</v>
      </c>
      <c r="H303" s="36">
        <v>34</v>
      </c>
      <c r="I303" s="36">
        <v>96</v>
      </c>
      <c r="J303" s="36">
        <v>0.25</v>
      </c>
    </row>
    <row r="304" spans="1:10" x14ac:dyDescent="0.25">
      <c r="A304" s="41">
        <v>326</v>
      </c>
      <c r="B304" s="36">
        <v>58</v>
      </c>
      <c r="C304" s="36">
        <v>66</v>
      </c>
      <c r="D304" s="36">
        <v>18</v>
      </c>
      <c r="E304" s="36">
        <v>68</v>
      </c>
      <c r="F304" s="36">
        <v>56</v>
      </c>
      <c r="G304" s="36">
        <v>101</v>
      </c>
      <c r="H304" s="36">
        <v>34</v>
      </c>
      <c r="I304" s="36">
        <v>96</v>
      </c>
      <c r="J304" s="36">
        <v>0.25</v>
      </c>
    </row>
    <row r="305" spans="1:10" x14ac:dyDescent="0.25">
      <c r="A305" s="41">
        <v>327</v>
      </c>
      <c r="B305" s="36">
        <v>58</v>
      </c>
      <c r="C305" s="36">
        <v>66</v>
      </c>
      <c r="D305" s="36">
        <v>18</v>
      </c>
      <c r="E305" s="36">
        <v>68</v>
      </c>
      <c r="F305" s="36">
        <v>56</v>
      </c>
      <c r="G305" s="36">
        <v>101</v>
      </c>
      <c r="H305" s="36">
        <v>34</v>
      </c>
      <c r="I305" s="36">
        <v>96</v>
      </c>
      <c r="J305" s="36">
        <v>0.25</v>
      </c>
    </row>
    <row r="306" spans="1:10" x14ac:dyDescent="0.25">
      <c r="A306" s="41">
        <v>328</v>
      </c>
      <c r="B306" s="36">
        <v>58</v>
      </c>
      <c r="C306" s="36">
        <v>66</v>
      </c>
      <c r="D306" s="36">
        <v>18</v>
      </c>
      <c r="E306" s="36">
        <v>68</v>
      </c>
      <c r="F306" s="36">
        <v>56</v>
      </c>
      <c r="G306" s="36">
        <v>101</v>
      </c>
      <c r="H306" s="36">
        <v>34</v>
      </c>
      <c r="I306" s="36">
        <v>96</v>
      </c>
      <c r="J306" s="36">
        <v>0.25</v>
      </c>
    </row>
    <row r="307" spans="1:10" x14ac:dyDescent="0.25">
      <c r="A307" s="41">
        <v>329</v>
      </c>
      <c r="B307" s="36">
        <v>58</v>
      </c>
      <c r="C307" s="36">
        <v>66</v>
      </c>
      <c r="D307" s="36">
        <v>18</v>
      </c>
      <c r="E307" s="36">
        <v>68</v>
      </c>
      <c r="F307" s="36">
        <v>56</v>
      </c>
      <c r="G307" s="36">
        <v>101</v>
      </c>
      <c r="H307" s="36">
        <v>34</v>
      </c>
      <c r="I307" s="36">
        <v>96</v>
      </c>
      <c r="J307" s="36">
        <v>0.25</v>
      </c>
    </row>
    <row r="308" spans="1:10" x14ac:dyDescent="0.25">
      <c r="A308" s="41">
        <v>330</v>
      </c>
      <c r="B308" s="36">
        <v>58</v>
      </c>
      <c r="C308" s="36">
        <v>66</v>
      </c>
      <c r="D308" s="36">
        <v>18</v>
      </c>
      <c r="E308" s="36">
        <v>68</v>
      </c>
      <c r="F308" s="36">
        <v>56</v>
      </c>
      <c r="G308" s="36">
        <v>101</v>
      </c>
      <c r="H308" s="36">
        <v>34</v>
      </c>
      <c r="I308" s="36">
        <v>96</v>
      </c>
      <c r="J308" s="36">
        <v>0.25</v>
      </c>
    </row>
    <row r="309" spans="1:10" x14ac:dyDescent="0.25">
      <c r="A309" s="41">
        <v>331</v>
      </c>
      <c r="B309" s="36">
        <v>58</v>
      </c>
      <c r="C309" s="36">
        <v>66</v>
      </c>
      <c r="D309" s="36">
        <v>18</v>
      </c>
      <c r="E309" s="36">
        <v>68</v>
      </c>
      <c r="F309" s="36">
        <v>56</v>
      </c>
      <c r="G309" s="36">
        <v>101</v>
      </c>
      <c r="H309" s="36">
        <v>34</v>
      </c>
      <c r="I309" s="36">
        <v>96</v>
      </c>
      <c r="J309" s="36">
        <v>0.25</v>
      </c>
    </row>
    <row r="310" spans="1:10" x14ac:dyDescent="0.25">
      <c r="A310" s="41">
        <v>332</v>
      </c>
      <c r="B310" s="36">
        <v>58</v>
      </c>
      <c r="C310" s="36">
        <v>66</v>
      </c>
      <c r="D310" s="36">
        <v>18</v>
      </c>
      <c r="E310" s="36">
        <v>68</v>
      </c>
      <c r="F310" s="36">
        <v>56</v>
      </c>
      <c r="G310" s="36">
        <v>101</v>
      </c>
      <c r="H310" s="36">
        <v>34</v>
      </c>
      <c r="I310" s="36">
        <v>96</v>
      </c>
      <c r="J310" s="36">
        <v>0.25</v>
      </c>
    </row>
    <row r="311" spans="1:10" x14ac:dyDescent="0.25">
      <c r="A311" s="41">
        <v>333</v>
      </c>
      <c r="B311" s="36">
        <v>58</v>
      </c>
      <c r="C311" s="36">
        <v>66</v>
      </c>
      <c r="D311" s="36">
        <v>18</v>
      </c>
      <c r="E311" s="36">
        <v>68</v>
      </c>
      <c r="F311" s="36">
        <v>56</v>
      </c>
      <c r="G311" s="36">
        <v>101</v>
      </c>
      <c r="H311" s="36">
        <v>34</v>
      </c>
      <c r="I311" s="36">
        <v>96</v>
      </c>
      <c r="J311" s="36">
        <v>0.25</v>
      </c>
    </row>
    <row r="312" spans="1:10" x14ac:dyDescent="0.25">
      <c r="A312" s="41">
        <v>334</v>
      </c>
      <c r="B312" s="36">
        <v>58</v>
      </c>
      <c r="C312" s="36">
        <v>66</v>
      </c>
      <c r="D312" s="36">
        <v>18</v>
      </c>
      <c r="E312" s="36">
        <v>68</v>
      </c>
      <c r="F312" s="36">
        <v>56</v>
      </c>
      <c r="G312" s="36">
        <v>101</v>
      </c>
      <c r="H312" s="36">
        <v>34</v>
      </c>
      <c r="I312" s="36">
        <v>96</v>
      </c>
      <c r="J312" s="36">
        <v>0.25</v>
      </c>
    </row>
    <row r="313" spans="1:10" x14ac:dyDescent="0.25">
      <c r="A313" s="41">
        <v>335</v>
      </c>
      <c r="B313" s="36">
        <v>58</v>
      </c>
      <c r="C313" s="36">
        <v>66</v>
      </c>
      <c r="D313" s="36">
        <v>18</v>
      </c>
      <c r="E313" s="36">
        <v>68</v>
      </c>
      <c r="F313" s="36">
        <v>56</v>
      </c>
      <c r="G313" s="36">
        <v>101</v>
      </c>
      <c r="H313" s="36">
        <v>34</v>
      </c>
      <c r="I313" s="36">
        <v>96</v>
      </c>
      <c r="J313" s="36">
        <v>0.25</v>
      </c>
    </row>
    <row r="314" spans="1:10" x14ac:dyDescent="0.25">
      <c r="A314" s="41">
        <v>336</v>
      </c>
      <c r="B314" s="36">
        <v>58</v>
      </c>
      <c r="C314" s="36">
        <v>66</v>
      </c>
      <c r="D314" s="36">
        <v>18</v>
      </c>
      <c r="E314" s="36">
        <v>68</v>
      </c>
      <c r="F314" s="36">
        <v>56</v>
      </c>
      <c r="G314" s="36">
        <v>101</v>
      </c>
      <c r="H314" s="36">
        <v>34</v>
      </c>
      <c r="I314" s="36">
        <v>96</v>
      </c>
      <c r="J314" s="36">
        <v>0.25</v>
      </c>
    </row>
    <row r="315" spans="1:10" x14ac:dyDescent="0.25">
      <c r="A315" s="41">
        <v>337</v>
      </c>
      <c r="B315" s="36">
        <v>58</v>
      </c>
      <c r="C315" s="36">
        <v>66</v>
      </c>
      <c r="D315" s="36">
        <v>18</v>
      </c>
      <c r="E315" s="36">
        <v>68</v>
      </c>
      <c r="F315" s="36">
        <v>56</v>
      </c>
      <c r="G315" s="36">
        <v>101</v>
      </c>
      <c r="H315" s="36">
        <v>34</v>
      </c>
      <c r="I315" s="36">
        <v>96</v>
      </c>
      <c r="J315" s="36">
        <v>0.25</v>
      </c>
    </row>
    <row r="316" spans="1:10" x14ac:dyDescent="0.25">
      <c r="A316" s="41">
        <v>338</v>
      </c>
      <c r="B316" s="36">
        <v>58</v>
      </c>
      <c r="C316" s="36">
        <v>66</v>
      </c>
      <c r="D316" s="36">
        <v>18</v>
      </c>
      <c r="E316" s="36">
        <v>68</v>
      </c>
      <c r="F316" s="36">
        <v>56</v>
      </c>
      <c r="G316" s="36">
        <v>101</v>
      </c>
      <c r="H316" s="36">
        <v>34</v>
      </c>
      <c r="I316" s="36">
        <v>96</v>
      </c>
      <c r="J316" s="36">
        <v>0.25</v>
      </c>
    </row>
    <row r="317" spans="1:10" x14ac:dyDescent="0.25">
      <c r="A317" s="41">
        <v>339</v>
      </c>
      <c r="B317" s="36">
        <v>58</v>
      </c>
      <c r="C317" s="36">
        <v>66</v>
      </c>
      <c r="D317" s="36">
        <v>18</v>
      </c>
      <c r="E317" s="36">
        <v>68</v>
      </c>
      <c r="F317" s="36">
        <v>56</v>
      </c>
      <c r="G317" s="36">
        <v>101</v>
      </c>
      <c r="H317" s="36">
        <v>34</v>
      </c>
      <c r="I317" s="36">
        <v>96</v>
      </c>
      <c r="J317" s="36">
        <v>0.25</v>
      </c>
    </row>
    <row r="318" spans="1:10" x14ac:dyDescent="0.25">
      <c r="A318" s="41">
        <v>340</v>
      </c>
      <c r="B318" s="36">
        <v>58</v>
      </c>
      <c r="C318" s="36">
        <v>66</v>
      </c>
      <c r="D318" s="36">
        <v>18</v>
      </c>
      <c r="E318" s="36">
        <v>68</v>
      </c>
      <c r="F318" s="36">
        <v>56</v>
      </c>
      <c r="G318" s="36">
        <v>101</v>
      </c>
      <c r="H318" s="36">
        <v>34</v>
      </c>
      <c r="I318" s="36">
        <v>96</v>
      </c>
      <c r="J318" s="36">
        <v>0.25</v>
      </c>
    </row>
    <row r="319" spans="1:10" x14ac:dyDescent="0.25">
      <c r="A319" s="41">
        <v>341</v>
      </c>
      <c r="B319" s="36">
        <v>58</v>
      </c>
      <c r="C319" s="36">
        <v>66</v>
      </c>
      <c r="D319" s="36">
        <v>18</v>
      </c>
      <c r="E319" s="36">
        <v>68</v>
      </c>
      <c r="F319" s="36">
        <v>56</v>
      </c>
      <c r="G319" s="36">
        <v>101</v>
      </c>
      <c r="H319" s="36">
        <v>34</v>
      </c>
      <c r="I319" s="36">
        <v>96</v>
      </c>
      <c r="J319" s="36">
        <v>0.25</v>
      </c>
    </row>
    <row r="320" spans="1:10" x14ac:dyDescent="0.25">
      <c r="A320" s="41">
        <v>342</v>
      </c>
      <c r="B320" s="36">
        <v>58</v>
      </c>
      <c r="C320" s="36">
        <v>66</v>
      </c>
      <c r="D320" s="36">
        <v>18</v>
      </c>
      <c r="E320" s="36">
        <v>68</v>
      </c>
      <c r="F320" s="36">
        <v>56</v>
      </c>
      <c r="G320" s="36">
        <v>101</v>
      </c>
      <c r="H320" s="36">
        <v>34</v>
      </c>
      <c r="I320" s="36">
        <v>96</v>
      </c>
      <c r="J320" s="36">
        <v>0.25</v>
      </c>
    </row>
    <row r="321" spans="1:10" x14ac:dyDescent="0.25">
      <c r="A321" s="41">
        <v>343</v>
      </c>
      <c r="B321" s="36">
        <v>58</v>
      </c>
      <c r="C321" s="36">
        <v>66</v>
      </c>
      <c r="D321" s="36">
        <v>18</v>
      </c>
      <c r="E321" s="36">
        <v>68</v>
      </c>
      <c r="F321" s="36">
        <v>56</v>
      </c>
      <c r="G321" s="36">
        <v>101</v>
      </c>
      <c r="H321" s="36">
        <v>34</v>
      </c>
      <c r="I321" s="36">
        <v>96</v>
      </c>
      <c r="J321" s="36">
        <v>0.25</v>
      </c>
    </row>
    <row r="322" spans="1:10" x14ac:dyDescent="0.25">
      <c r="A322" s="41">
        <v>344</v>
      </c>
      <c r="B322" s="36">
        <v>58</v>
      </c>
      <c r="C322" s="36">
        <v>66</v>
      </c>
      <c r="D322" s="36">
        <v>18</v>
      </c>
      <c r="E322" s="36">
        <v>68</v>
      </c>
      <c r="F322" s="36">
        <v>56</v>
      </c>
      <c r="G322" s="36">
        <v>101</v>
      </c>
      <c r="H322" s="36">
        <v>34</v>
      </c>
      <c r="I322" s="36">
        <v>96</v>
      </c>
      <c r="J322" s="36">
        <v>0.25</v>
      </c>
    </row>
    <row r="323" spans="1:10" x14ac:dyDescent="0.25">
      <c r="A323" s="41">
        <v>345</v>
      </c>
      <c r="B323" s="36">
        <v>58</v>
      </c>
      <c r="C323" s="36">
        <v>66</v>
      </c>
      <c r="D323" s="36">
        <v>18</v>
      </c>
      <c r="E323" s="36">
        <v>68</v>
      </c>
      <c r="F323" s="36">
        <v>56</v>
      </c>
      <c r="G323" s="36">
        <v>101</v>
      </c>
      <c r="H323" s="36">
        <v>34</v>
      </c>
      <c r="I323" s="36">
        <v>96</v>
      </c>
      <c r="J323" s="36">
        <v>0.25</v>
      </c>
    </row>
    <row r="324" spans="1:10" x14ac:dyDescent="0.25">
      <c r="A324" s="41">
        <v>346</v>
      </c>
      <c r="B324" s="36">
        <v>58</v>
      </c>
      <c r="C324" s="36">
        <v>66</v>
      </c>
      <c r="D324" s="36">
        <v>18</v>
      </c>
      <c r="E324" s="36">
        <v>68</v>
      </c>
      <c r="F324" s="36">
        <v>56</v>
      </c>
      <c r="G324" s="36">
        <v>101</v>
      </c>
      <c r="H324" s="36">
        <v>34</v>
      </c>
      <c r="I324" s="36">
        <v>96</v>
      </c>
      <c r="J324" s="36">
        <v>0.25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8F03F-7813-454A-98E5-FC7737F46873}">
  <dimension ref="B1:T67"/>
  <sheetViews>
    <sheetView showGridLines="0" showRowColHeaders="0" zoomScaleNormal="100" workbookViewId="0">
      <selection activeCell="D3" sqref="D3:D4"/>
    </sheetView>
  </sheetViews>
  <sheetFormatPr defaultColWidth="8.7109375" defaultRowHeight="15" x14ac:dyDescent="0.25"/>
  <cols>
    <col min="1" max="1" width="8.7109375" style="1"/>
    <col min="2" max="2" width="35.42578125" style="9" bestFit="1" customWidth="1"/>
    <col min="3" max="3" width="9.7109375" style="2" bestFit="1" customWidth="1"/>
    <col min="4" max="8" width="11.42578125" style="2" customWidth="1"/>
    <col min="9" max="10" width="11.42578125" style="1" customWidth="1"/>
    <col min="11" max="11" width="11" style="1" hidden="1" customWidth="1"/>
    <col min="12" max="16384" width="8.7109375" style="1"/>
  </cols>
  <sheetData>
    <row r="1" spans="2:11" ht="114.75" customHeight="1" x14ac:dyDescent="0.25">
      <c r="B1" s="26"/>
      <c r="C1" s="13"/>
      <c r="D1" s="13"/>
      <c r="E1" s="13"/>
      <c r="F1" s="13"/>
      <c r="G1" s="13"/>
      <c r="H1" s="13"/>
      <c r="I1" s="3"/>
      <c r="J1" s="3"/>
      <c r="K1" s="3"/>
    </row>
    <row r="2" spans="2:11" ht="15.75" thickBot="1" x14ac:dyDescent="0.3">
      <c r="B2" s="24" t="s">
        <v>14</v>
      </c>
      <c r="C2" s="25" t="s">
        <v>15</v>
      </c>
      <c r="D2" s="49" t="str">
        <f>IF(D16&lt;D18,"!",IF(D3&gt;=90,"**"," "))</f>
        <v xml:space="preserve"> </v>
      </c>
      <c r="E2" s="49" t="str">
        <f t="shared" ref="E2:J2" si="0">IF(E16&lt;E18,"!",IF(E3&gt;=90,"**"," "))</f>
        <v xml:space="preserve"> </v>
      </c>
      <c r="F2" s="49" t="str">
        <f t="shared" si="0"/>
        <v xml:space="preserve"> </v>
      </c>
      <c r="G2" s="49" t="str">
        <f t="shared" si="0"/>
        <v xml:space="preserve"> </v>
      </c>
      <c r="H2" s="49" t="str">
        <f t="shared" si="0"/>
        <v xml:space="preserve"> </v>
      </c>
      <c r="I2" s="49" t="str">
        <f t="shared" si="0"/>
        <v xml:space="preserve"> </v>
      </c>
      <c r="J2" s="49" t="str">
        <f t="shared" si="0"/>
        <v xml:space="preserve"> </v>
      </c>
      <c r="K2" s="28"/>
    </row>
    <row r="3" spans="2:11" x14ac:dyDescent="0.25">
      <c r="B3" s="22" t="s">
        <v>7</v>
      </c>
      <c r="C3" s="23" t="s">
        <v>63</v>
      </c>
      <c r="D3" s="34"/>
      <c r="E3" s="34"/>
      <c r="F3" s="34"/>
      <c r="G3" s="34"/>
      <c r="H3" s="34"/>
      <c r="I3" s="34"/>
      <c r="J3" s="34"/>
      <c r="K3" s="34"/>
    </row>
    <row r="4" spans="2:11" x14ac:dyDescent="0.25">
      <c r="B4" s="22" t="s">
        <v>8</v>
      </c>
      <c r="C4" s="23" t="s">
        <v>63</v>
      </c>
      <c r="D4" s="34"/>
      <c r="E4" s="34"/>
      <c r="F4" s="34"/>
      <c r="G4" s="34"/>
      <c r="H4" s="34"/>
      <c r="I4" s="34"/>
      <c r="J4" s="34"/>
      <c r="K4" s="34"/>
    </row>
    <row r="5" spans="2:11" ht="15.75" thickBot="1" x14ac:dyDescent="0.3">
      <c r="B5" s="24" t="s">
        <v>13</v>
      </c>
      <c r="C5" s="25" t="s">
        <v>64</v>
      </c>
      <c r="D5" s="35"/>
      <c r="E5" s="35"/>
      <c r="F5" s="35"/>
      <c r="G5" s="35"/>
      <c r="H5" s="35"/>
      <c r="I5" s="35"/>
      <c r="J5" s="35"/>
      <c r="K5" s="35"/>
    </row>
    <row r="6" spans="2:11" hidden="1" x14ac:dyDescent="0.25">
      <c r="B6" s="9" t="s">
        <v>3</v>
      </c>
      <c r="D6" s="6" t="str">
        <f>IF(D3&gt;0,CONVERT(D3,"kg","lbm"),"")</f>
        <v/>
      </c>
      <c r="E6" s="6" t="str">
        <f t="shared" ref="E6:K6" si="1">IF(E3&gt;0,CONVERT(E3,"kg","lbm"),"")</f>
        <v/>
      </c>
      <c r="F6" s="6" t="str">
        <f t="shared" si="1"/>
        <v/>
      </c>
      <c r="G6" s="6" t="str">
        <f t="shared" si="1"/>
        <v/>
      </c>
      <c r="H6" s="6" t="str">
        <f t="shared" si="1"/>
        <v/>
      </c>
      <c r="I6" s="6" t="str">
        <f t="shared" si="1"/>
        <v/>
      </c>
      <c r="J6" s="6" t="str">
        <f t="shared" si="1"/>
        <v/>
      </c>
      <c r="K6" s="6" t="str">
        <f t="shared" si="1"/>
        <v/>
      </c>
    </row>
    <row r="7" spans="2:11" hidden="1" x14ac:dyDescent="0.25">
      <c r="B7" s="9" t="s">
        <v>2</v>
      </c>
      <c r="D7" s="6" t="str">
        <f>IF(D4&gt;0,CONVERT(D4,"kg","lbm"),"")</f>
        <v/>
      </c>
      <c r="E7" s="6" t="str">
        <f t="shared" ref="E7:K7" si="2">IF(E4&gt;0,CONVERT(E4,"kg","lbm"),"")</f>
        <v/>
      </c>
      <c r="F7" s="6" t="str">
        <f t="shared" si="2"/>
        <v/>
      </c>
      <c r="G7" s="6" t="str">
        <f t="shared" si="2"/>
        <v/>
      </c>
      <c r="H7" s="6" t="str">
        <f t="shared" si="2"/>
        <v/>
      </c>
      <c r="I7" s="6" t="str">
        <f t="shared" si="2"/>
        <v/>
      </c>
      <c r="J7" s="6" t="str">
        <f t="shared" si="2"/>
        <v/>
      </c>
      <c r="K7" s="6" t="str">
        <f t="shared" si="2"/>
        <v/>
      </c>
    </row>
    <row r="8" spans="2:11" hidden="1" x14ac:dyDescent="0.25">
      <c r="B8" s="9" t="s">
        <v>16</v>
      </c>
      <c r="D8" s="15" t="str">
        <f>IFERROR(IF(D6&gt;0,AVERAGE(D6:D7)," "),"")</f>
        <v/>
      </c>
      <c r="E8" s="15" t="str">
        <f t="shared" ref="E8:K8" si="3">IFERROR(IF(E6&gt;0,AVERAGE(E6:E7)," "),"")</f>
        <v/>
      </c>
      <c r="F8" s="15" t="str">
        <f t="shared" si="3"/>
        <v/>
      </c>
      <c r="G8" s="15" t="str">
        <f t="shared" si="3"/>
        <v/>
      </c>
      <c r="H8" s="15" t="str">
        <f t="shared" si="3"/>
        <v/>
      </c>
      <c r="I8" s="15" t="str">
        <f t="shared" si="3"/>
        <v/>
      </c>
      <c r="J8" s="15" t="str">
        <f t="shared" si="3"/>
        <v/>
      </c>
      <c r="K8" s="15" t="str">
        <f t="shared" si="3"/>
        <v/>
      </c>
    </row>
    <row r="9" spans="2:11" hidden="1" x14ac:dyDescent="0.25">
      <c r="B9" s="9" t="s">
        <v>0</v>
      </c>
      <c r="D9" s="6" t="str">
        <f>IF(D3="","",D3)</f>
        <v/>
      </c>
      <c r="E9" s="6" t="str">
        <f t="shared" ref="E9:K9" si="4">IF(E3="","",E3)</f>
        <v/>
      </c>
      <c r="F9" s="6" t="str">
        <f t="shared" si="4"/>
        <v/>
      </c>
      <c r="G9" s="6" t="str">
        <f t="shared" si="4"/>
        <v/>
      </c>
      <c r="H9" s="6" t="str">
        <f t="shared" si="4"/>
        <v/>
      </c>
      <c r="I9" s="6" t="str">
        <f t="shared" si="4"/>
        <v/>
      </c>
      <c r="J9" s="6" t="str">
        <f t="shared" si="4"/>
        <v/>
      </c>
      <c r="K9" s="6" t="str">
        <f t="shared" si="4"/>
        <v/>
      </c>
    </row>
    <row r="10" spans="2:11" hidden="1" x14ac:dyDescent="0.25">
      <c r="B10" s="9" t="s">
        <v>1</v>
      </c>
      <c r="D10" s="6" t="str">
        <f>IF(D4="","",D4)</f>
        <v/>
      </c>
      <c r="E10" s="6" t="str">
        <f t="shared" ref="E10:K10" si="5">IF(E4="","",E4)</f>
        <v/>
      </c>
      <c r="F10" s="6" t="str">
        <f t="shared" si="5"/>
        <v/>
      </c>
      <c r="G10" s="6" t="str">
        <f t="shared" si="5"/>
        <v/>
      </c>
      <c r="H10" s="6" t="str">
        <f t="shared" si="5"/>
        <v/>
      </c>
      <c r="I10" s="6" t="str">
        <f t="shared" si="5"/>
        <v/>
      </c>
      <c r="J10" s="6" t="str">
        <f t="shared" si="5"/>
        <v/>
      </c>
      <c r="K10" s="6" t="str">
        <f t="shared" si="5"/>
        <v/>
      </c>
    </row>
    <row r="11" spans="2:11" hidden="1" x14ac:dyDescent="0.25">
      <c r="B11" s="9" t="s">
        <v>16</v>
      </c>
      <c r="D11" s="15" t="str">
        <f>IFERROR(IF(D9&gt;0,AVERAGE(D9:D10)," "),"")</f>
        <v/>
      </c>
      <c r="E11" s="15" t="str">
        <f t="shared" ref="E11:K11" si="6">IFERROR(IF(E9&gt;0,AVERAGE(E9:E10)," "),"")</f>
        <v/>
      </c>
      <c r="F11" s="15" t="str">
        <f t="shared" si="6"/>
        <v/>
      </c>
      <c r="G11" s="15" t="str">
        <f t="shared" si="6"/>
        <v/>
      </c>
      <c r="H11" s="15" t="str">
        <f t="shared" si="6"/>
        <v/>
      </c>
      <c r="I11" s="15" t="str">
        <f t="shared" si="6"/>
        <v/>
      </c>
      <c r="J11" s="15" t="str">
        <f t="shared" si="6"/>
        <v/>
      </c>
      <c r="K11" s="15" t="str">
        <f t="shared" si="6"/>
        <v/>
      </c>
    </row>
    <row r="12" spans="2:11" x14ac:dyDescent="0.25">
      <c r="B12" s="10" t="s">
        <v>4</v>
      </c>
      <c r="C12" s="7"/>
      <c r="D12" s="13"/>
      <c r="E12" s="13"/>
      <c r="F12" s="13"/>
      <c r="G12" s="13"/>
      <c r="H12" s="16"/>
      <c r="I12" s="16"/>
      <c r="J12" s="3"/>
      <c r="K12" s="3"/>
    </row>
    <row r="13" spans="2:11" s="4" customFormat="1" x14ac:dyDescent="0.25">
      <c r="B13" s="11" t="s">
        <v>10</v>
      </c>
      <c r="C13" s="8" t="s">
        <v>9</v>
      </c>
      <c r="D13" s="17" t="str">
        <f>IFERROR(IF(D3&gt;=90,1.86,D14),"")</f>
        <v/>
      </c>
      <c r="E13" s="17" t="str">
        <f t="shared" ref="E13:J13" si="7">IFERROR(IF(E3&gt;=90,1.86,E14),"")</f>
        <v/>
      </c>
      <c r="F13" s="17" t="str">
        <f t="shared" si="7"/>
        <v/>
      </c>
      <c r="G13" s="17" t="str">
        <f t="shared" si="7"/>
        <v/>
      </c>
      <c r="H13" s="17" t="str">
        <f t="shared" si="7"/>
        <v/>
      </c>
      <c r="I13" s="17" t="str">
        <f t="shared" si="7"/>
        <v/>
      </c>
      <c r="J13" s="17" t="str">
        <f t="shared" si="7"/>
        <v/>
      </c>
      <c r="K13" s="17" t="str">
        <f t="shared" ref="K13" si="8">IFERROR(IF(K3&gt;90,1.86,K14),"")</f>
        <v/>
      </c>
    </row>
    <row r="14" spans="2:11" s="4" customFormat="1" hidden="1" x14ac:dyDescent="0.25">
      <c r="B14" s="11" t="s">
        <v>62</v>
      </c>
      <c r="C14" s="8"/>
      <c r="D14" s="17" t="str">
        <f>IFERROR(IF(AND(D4&gt;0,D11&lt;40),D15*0.97,(D15+((-0.0000000031*D11^4+0.0000013234*D11^3-0.0002087068*D11^2+0.0142221655*D11-0.3126825057)*D15))*0.97),"")</f>
        <v/>
      </c>
      <c r="E14" s="17" t="str">
        <f t="shared" ref="E14:J14" si="9">IFERROR(IF(AND(E4&gt;0,E11&lt;40),E15*0.97,(E15+((-0.0000000031*E11^4+0.0000013234*E11^3-0.0002087068*E11^2+0.0142221655*E11-0.3126825057)*E15))*0.97),"")</f>
        <v/>
      </c>
      <c r="F14" s="17" t="str">
        <f t="shared" si="9"/>
        <v/>
      </c>
      <c r="G14" s="17" t="str">
        <f t="shared" si="9"/>
        <v/>
      </c>
      <c r="H14" s="17" t="str">
        <f t="shared" si="9"/>
        <v/>
      </c>
      <c r="I14" s="17" t="str">
        <f t="shared" si="9"/>
        <v/>
      </c>
      <c r="J14" s="17" t="str">
        <f t="shared" si="9"/>
        <v/>
      </c>
      <c r="K14" s="17" t="str">
        <f t="shared" ref="K14" si="10">IFERROR(IF(AND(K4&gt;0,K11&lt;40),K15*0.97,(K15+((-0.0000000031*K11^4+0.0000013234*K11^3-0.0002087068*K11^2+0.0142221655*K11-0.3126825057)*K15)))*0.97,"")</f>
        <v/>
      </c>
    </row>
    <row r="15" spans="2:11" s="4" customFormat="1" hidden="1" x14ac:dyDescent="0.25">
      <c r="B15" s="11" t="s">
        <v>65</v>
      </c>
      <c r="C15" s="2"/>
      <c r="D15" s="17" t="str">
        <f>IFERROR(IF(D16&lt;D18,D18,D16),"")</f>
        <v xml:space="preserve"> </v>
      </c>
      <c r="E15" s="17" t="str">
        <f t="shared" ref="E15:K15" si="11">IFERROR(IF(E16&lt;E18,E18,E16),"")</f>
        <v xml:space="preserve"> </v>
      </c>
      <c r="F15" s="17" t="str">
        <f t="shared" si="11"/>
        <v xml:space="preserve"> </v>
      </c>
      <c r="G15" s="17" t="str">
        <f t="shared" si="11"/>
        <v xml:space="preserve"> </v>
      </c>
      <c r="H15" s="17" t="str">
        <f t="shared" si="11"/>
        <v xml:space="preserve"> </v>
      </c>
      <c r="I15" s="17" t="str">
        <f t="shared" si="11"/>
        <v xml:space="preserve"> </v>
      </c>
      <c r="J15" s="17" t="str">
        <f t="shared" si="11"/>
        <v xml:space="preserve"> </v>
      </c>
      <c r="K15" s="17" t="str">
        <f t="shared" si="11"/>
        <v xml:space="preserve"> </v>
      </c>
    </row>
    <row r="16" spans="2:11" s="4" customFormat="1" hidden="1" x14ac:dyDescent="0.25">
      <c r="B16" s="9" t="s">
        <v>67</v>
      </c>
      <c r="C16" s="2"/>
      <c r="D16" s="17" t="str">
        <f>IF(D4&gt;0,(0.0000255654*(D8^2) - 0.0157978368*(D8) +4.4555073859)," ")</f>
        <v xml:space="preserve"> </v>
      </c>
      <c r="E16" s="17" t="str">
        <f t="shared" ref="E16:K16" si="12">IF(E4&gt;0,(0.0000255654*(E8^2) - 0.0157978368*(E8) +4.4555073859)," ")</f>
        <v xml:space="preserve"> </v>
      </c>
      <c r="F16" s="17" t="str">
        <f t="shared" si="12"/>
        <v xml:space="preserve"> </v>
      </c>
      <c r="G16" s="17" t="str">
        <f t="shared" si="12"/>
        <v xml:space="preserve"> </v>
      </c>
      <c r="H16" s="17" t="str">
        <f t="shared" si="12"/>
        <v xml:space="preserve"> </v>
      </c>
      <c r="I16" s="17" t="str">
        <f t="shared" si="12"/>
        <v xml:space="preserve"> </v>
      </c>
      <c r="J16" s="17" t="str">
        <f t="shared" si="12"/>
        <v xml:space="preserve"> </v>
      </c>
      <c r="K16" s="17" t="str">
        <f t="shared" si="12"/>
        <v xml:space="preserve"> </v>
      </c>
    </row>
    <row r="17" spans="2:20" s="4" customFormat="1" hidden="1" x14ac:dyDescent="0.25">
      <c r="B17" s="9" t="s">
        <v>66</v>
      </c>
      <c r="C17" s="2"/>
      <c r="D17" s="17" t="str">
        <f>IF(D3&gt;0,(0.0000255654*(D6^2) - 0.0157978368*(D6) +4.4555073859)," ")</f>
        <v xml:space="preserve"> </v>
      </c>
      <c r="E17" s="17" t="str">
        <f t="shared" ref="E17:K17" si="13">IF(E3&gt;0,(0.0000255654*(E6^2) - 0.0157978368*(E6) +4.4555073859)," ")</f>
        <v xml:space="preserve"> </v>
      </c>
      <c r="F17" s="17" t="str">
        <f t="shared" si="13"/>
        <v xml:space="preserve"> </v>
      </c>
      <c r="G17" s="17" t="str">
        <f t="shared" si="13"/>
        <v xml:space="preserve"> </v>
      </c>
      <c r="H17" s="17" t="str">
        <f t="shared" si="13"/>
        <v xml:space="preserve"> </v>
      </c>
      <c r="I17" s="17" t="str">
        <f t="shared" si="13"/>
        <v xml:space="preserve"> </v>
      </c>
      <c r="J17" s="17" t="str">
        <f t="shared" si="13"/>
        <v xml:space="preserve"> </v>
      </c>
      <c r="K17" s="17" t="str">
        <f t="shared" si="13"/>
        <v xml:space="preserve"> </v>
      </c>
    </row>
    <row r="18" spans="2:20" s="4" customFormat="1" hidden="1" x14ac:dyDescent="0.25">
      <c r="B18" s="9" t="s">
        <v>61</v>
      </c>
      <c r="C18" s="2"/>
      <c r="D18" s="17" t="str">
        <f>IFERROR(D17*0.85,"")</f>
        <v/>
      </c>
      <c r="E18" s="17" t="str">
        <f t="shared" ref="E18:K18" si="14">IFERROR(E17*0.85,"")</f>
        <v/>
      </c>
      <c r="F18" s="17" t="str">
        <f t="shared" si="14"/>
        <v/>
      </c>
      <c r="G18" s="17" t="str">
        <f t="shared" si="14"/>
        <v/>
      </c>
      <c r="H18" s="17" t="str">
        <f t="shared" si="14"/>
        <v/>
      </c>
      <c r="I18" s="17" t="str">
        <f t="shared" si="14"/>
        <v/>
      </c>
      <c r="J18" s="17" t="str">
        <f t="shared" si="14"/>
        <v/>
      </c>
      <c r="K18" s="17" t="str">
        <f t="shared" si="14"/>
        <v/>
      </c>
      <c r="L18" s="14"/>
    </row>
    <row r="19" spans="2:20" s="4" customFormat="1" x14ac:dyDescent="0.25">
      <c r="B19" s="11" t="s">
        <v>11</v>
      </c>
      <c r="C19" s="8" t="s">
        <v>12</v>
      </c>
      <c r="D19" s="17" t="str">
        <f>IF(D$5&gt;0,(D13*D$5/10000)," ")</f>
        <v xml:space="preserve"> </v>
      </c>
      <c r="E19" s="17" t="str">
        <f t="shared" ref="E19:K19" si="15">IF(E$5&gt;0,(E13*E$5/10000)," ")</f>
        <v xml:space="preserve"> </v>
      </c>
      <c r="F19" s="17" t="str">
        <f t="shared" si="15"/>
        <v xml:space="preserve"> </v>
      </c>
      <c r="G19" s="17" t="str">
        <f t="shared" si="15"/>
        <v xml:space="preserve"> </v>
      </c>
      <c r="H19" s="17" t="str">
        <f t="shared" si="15"/>
        <v xml:space="preserve"> </v>
      </c>
      <c r="I19" s="17" t="str">
        <f t="shared" si="15"/>
        <v xml:space="preserve"> </v>
      </c>
      <c r="J19" s="17" t="str">
        <f t="shared" si="15"/>
        <v xml:space="preserve"> </v>
      </c>
      <c r="K19" s="17" t="str">
        <f t="shared" si="15"/>
        <v xml:space="preserve"> </v>
      </c>
    </row>
    <row r="20" spans="2:20" s="4" customFormat="1" x14ac:dyDescent="0.25">
      <c r="B20" s="11" t="s">
        <v>36</v>
      </c>
      <c r="C20" s="5" t="s">
        <v>17</v>
      </c>
      <c r="D20" s="21" t="str">
        <f>IFERROR(MAX((VLOOKUP(D$4,'AA ratios - Metric'!$A$2:$K$324,2,TRUE)),(VLOOKUP(D$3,'AA ratios - Metric'!$A$2:$K$324,2,TRUE))),"")</f>
        <v/>
      </c>
      <c r="E20" s="21" t="str">
        <f>IFERROR(MAX((VLOOKUP(E$4,'AA ratios - Metric'!$A$2:$K$324,2,TRUE)),(VLOOKUP(E$3,'AA ratios - Metric'!$A$2:$K$324,2,TRUE))),"")</f>
        <v/>
      </c>
      <c r="F20" s="21" t="str">
        <f>IFERROR(MAX((VLOOKUP(F$4,'AA ratios - Metric'!$A$2:$K$324,2,TRUE)),(VLOOKUP(F$3,'AA ratios - Metric'!$A$2:$K$324,2,TRUE))),"")</f>
        <v/>
      </c>
      <c r="G20" s="21" t="str">
        <f>IFERROR(MAX((VLOOKUP(G$4,'AA ratios - Metric'!$A$2:$K$324,2,TRUE)),(VLOOKUP(G$3,'AA ratios - Metric'!$A$2:$K$324,2,TRUE))),"")</f>
        <v/>
      </c>
      <c r="H20" s="21" t="str">
        <f>IFERROR(MAX((VLOOKUP(H$4,'AA ratios - Metric'!$A$2:$K$324,2,TRUE)),(VLOOKUP(H$3,'AA ratios - Metric'!$A$2:$K$324,2,TRUE))),"")</f>
        <v/>
      </c>
      <c r="I20" s="21" t="str">
        <f>IFERROR(MAX((VLOOKUP(I$4,'AA ratios - Metric'!$A$2:$K$324,2,TRUE)),(VLOOKUP(I$3,'AA ratios - Metric'!$A$2:$K$324,2,TRUE))),"")</f>
        <v/>
      </c>
      <c r="J20" s="21" t="str">
        <f>IFERROR(MAX((VLOOKUP(J$4,'AA ratios - Metric'!$A$2:$K$324,2,TRUE)),(VLOOKUP(J$3,'AA ratios - Metric'!$A$2:$K$324,2,TRUE))),"")</f>
        <v/>
      </c>
      <c r="K20" s="21" t="str">
        <f>IFERROR(MAX((VLOOKUP(K$4,'AA ratios - Metric'!$A$2:$K$324,2,FALSE)),(VLOOKUP(K$3,'AA ratios - Metric'!$A$2:$K$324,2,FALSE))),"")</f>
        <v/>
      </c>
    </row>
    <row r="21" spans="2:20" x14ac:dyDescent="0.25">
      <c r="B21" s="11" t="s">
        <v>37</v>
      </c>
      <c r="C21" s="5" t="s">
        <v>17</v>
      </c>
      <c r="D21" s="21" t="str">
        <f>IFERROR(MAX((VLOOKUP(D$4,'AA ratios - Metric'!$A$2:$K$324,3,TRUE)),(VLOOKUP(D$3,'AA ratios - Metric'!$A$2:$K$324,3,TRUE))),"")</f>
        <v/>
      </c>
      <c r="E21" s="21" t="str">
        <f>IFERROR(MAX((VLOOKUP(E$4,'AA ratios - Metric'!$A$2:$K$324,3,TRUE)),(VLOOKUP(E$3,'AA ratios - Metric'!$A$2:$K$324,3,TRUE))),"")</f>
        <v/>
      </c>
      <c r="F21" s="21" t="str">
        <f>IFERROR(MAX((VLOOKUP(F$4,'AA ratios - Metric'!$A$2:$K$324,3,TRUE)),(VLOOKUP(F$3,'AA ratios - Metric'!$A$2:$K$324,3,TRUE))),"")</f>
        <v/>
      </c>
      <c r="G21" s="21" t="str">
        <f>IFERROR(MAX((VLOOKUP(G$4,'AA ratios - Metric'!$A$2:$K$324,3,TRUE)),(VLOOKUP(G$3,'AA ratios - Metric'!$A$2:$K$324,3,TRUE))),"")</f>
        <v/>
      </c>
      <c r="H21" s="21" t="str">
        <f>IFERROR(MAX((VLOOKUP(H$4,'AA ratios - Metric'!$A$2:$K$324,3,TRUE)),(VLOOKUP(H$3,'AA ratios - Metric'!$A$2:$K$324,3,TRUE))),"")</f>
        <v/>
      </c>
      <c r="I21" s="21" t="str">
        <f>IFERROR(MAX((VLOOKUP(I$4,'AA ratios - Metric'!$A$2:$K$324,3,TRUE)),(VLOOKUP(I$3,'AA ratios - Metric'!$A$2:$K$324,3,TRUE))),"")</f>
        <v/>
      </c>
      <c r="J21" s="21" t="str">
        <f>IFERROR(MAX((VLOOKUP(J$4,'AA ratios - Metric'!$A$2:$K$324,3,TRUE)),(VLOOKUP(J$3,'AA ratios - Metric'!$A$2:$K$324,3,TRUE))),"")</f>
        <v/>
      </c>
      <c r="K21" s="21" t="str">
        <f>IFERROR(MAX((VLOOKUP(K$4,'AA ratios - Metric'!$A$2:$K$324,3,FALSE)),(VLOOKUP(K$3,'AA ratios - Metric'!$A$2:$K$324,3,FALSE))),"")</f>
        <v/>
      </c>
    </row>
    <row r="22" spans="2:20" x14ac:dyDescent="0.25">
      <c r="B22" s="11" t="s">
        <v>38</v>
      </c>
      <c r="C22" s="5" t="s">
        <v>17</v>
      </c>
      <c r="D22" s="21" t="str">
        <f>IFERROR(MAX((VLOOKUP(D$4,'AA ratios - Metric'!$A$2:$K$324,4,TRUE)),(VLOOKUP(D$3,'AA ratios - Metric'!$A$2:$K$324,4,TRUE))),"")</f>
        <v/>
      </c>
      <c r="E22" s="21" t="str">
        <f>IFERROR(MAX((VLOOKUP(E$4,'AA ratios - Metric'!$A$2:$K$324,4,TRUE)),(VLOOKUP(E$3,'AA ratios - Metric'!$A$2:$K$324,4,TRUE))),"")</f>
        <v/>
      </c>
      <c r="F22" s="21" t="str">
        <f>IFERROR(MAX((VLOOKUP(F$4,'AA ratios - Metric'!$A$2:$K$324,4,TRUE)),(VLOOKUP(F$3,'AA ratios - Metric'!$A$2:$K$324,4,TRUE))),"")</f>
        <v/>
      </c>
      <c r="G22" s="21" t="str">
        <f>IFERROR(MAX((VLOOKUP(G$4,'AA ratios - Metric'!$A$2:$K$324,4,TRUE)),(VLOOKUP(G$3,'AA ratios - Metric'!$A$2:$K$324,4,TRUE))),"")</f>
        <v/>
      </c>
      <c r="H22" s="21" t="str">
        <f>IFERROR(MAX((VLOOKUP(H$4,'AA ratios - Metric'!$A$2:$K$324,4,TRUE)),(VLOOKUP(H$3,'AA ratios - Metric'!$A$2:$K$324,4,TRUE))),"")</f>
        <v/>
      </c>
      <c r="I22" s="21" t="str">
        <f>IFERROR(MAX((VLOOKUP(I$4,'AA ratios - Metric'!$A$2:$K$324,4,TRUE)),(VLOOKUP(I$3,'AA ratios - Metric'!$A$2:$K$324,4,TRUE))),"")</f>
        <v/>
      </c>
      <c r="J22" s="21" t="str">
        <f>IFERROR(MAX((VLOOKUP(J$4,'AA ratios - Metric'!$A$2:$K$324,4,TRUE)),(VLOOKUP(J$3,'AA ratios - Metric'!$A$2:$K$324,4,TRUE))),"")</f>
        <v/>
      </c>
      <c r="K22" s="21" t="str">
        <f>IFERROR(MAX((VLOOKUP(K$4,'AA ratios - Metric'!$A$2:$K$324,4,FALSE)),(VLOOKUP(K$3,'AA ratios - Metric'!$A$2:$K$324,4,FALSE))),"")</f>
        <v/>
      </c>
    </row>
    <row r="23" spans="2:20" x14ac:dyDescent="0.25">
      <c r="B23" s="11" t="s">
        <v>39</v>
      </c>
      <c r="C23" s="5" t="s">
        <v>17</v>
      </c>
      <c r="D23" s="21" t="str">
        <f>IFERROR(MAX((VLOOKUP(D$4,'AA ratios - Metric'!$A$2:$K$324,5,TRUE)),(VLOOKUP(D$3,'AA ratios - Metric'!$A$2:$K$324,5,TRUE))),"")</f>
        <v/>
      </c>
      <c r="E23" s="21" t="str">
        <f>IFERROR(MAX((VLOOKUP(E$4,'AA ratios - Metric'!$A$2:$K$324,5,TRUE)),(VLOOKUP(E$3,'AA ratios - Metric'!$A$2:$K$324,5,TRUE))),"")</f>
        <v/>
      </c>
      <c r="F23" s="21" t="str">
        <f>IFERROR(MAX((VLOOKUP(F$4,'AA ratios - Metric'!$A$2:$K$324,5,TRUE)),(VLOOKUP(F$3,'AA ratios - Metric'!$A$2:$K$324,5,TRUE))),"")</f>
        <v/>
      </c>
      <c r="G23" s="21" t="str">
        <f>IFERROR(MAX((VLOOKUP(G$4,'AA ratios - Metric'!$A$2:$K$324,5,TRUE)),(VLOOKUP(G$3,'AA ratios - Metric'!$A$2:$K$324,5,TRUE))),"")</f>
        <v/>
      </c>
      <c r="H23" s="21" t="str">
        <f>IFERROR(MAX((VLOOKUP(H$4,'AA ratios - Metric'!$A$2:$K$324,5,TRUE)),(VLOOKUP(H$3,'AA ratios - Metric'!$A$2:$K$324,5,TRUE))),"")</f>
        <v/>
      </c>
      <c r="I23" s="21" t="str">
        <f>IFERROR(MAX((VLOOKUP(I$4,'AA ratios - Metric'!$A$2:$K$324,5,TRUE)),(VLOOKUP(I$3,'AA ratios - Metric'!$A$2:$K$324,5,TRUE))),"")</f>
        <v/>
      </c>
      <c r="J23" s="21" t="str">
        <f>IFERROR(MAX((VLOOKUP(J$4,'AA ratios - Metric'!$A$2:$K$324,5,TRUE)),(VLOOKUP(J$3,'AA ratios - Metric'!$A$2:$K$324,5,TRUE))),"")</f>
        <v/>
      </c>
      <c r="K23" s="21" t="str">
        <f>IFERROR(MAX((VLOOKUP(K$4,'AA ratios - Metric'!$A$2:$K$324,5,FALSE)),(VLOOKUP(K$3,'AA ratios - Metric'!$A$2:$K$324,5,FALSE))),"")</f>
        <v/>
      </c>
    </row>
    <row r="24" spans="2:20" x14ac:dyDescent="0.25">
      <c r="B24" s="31" t="s">
        <v>40</v>
      </c>
      <c r="C24" s="18" t="s">
        <v>17</v>
      </c>
      <c r="D24" s="21" t="str">
        <f>IFERROR(MAX((VLOOKUP(D$4,'AA ratios - Metric'!$A$2:$K$324,6,TRUE)),(VLOOKUP(D$3,'AA ratios - Metric'!$A$2:$K$324,6,TRUE))),"")</f>
        <v/>
      </c>
      <c r="E24" s="21" t="str">
        <f>IFERROR(MAX((VLOOKUP(E$4,'AA ratios - Metric'!$A$2:$K$324,6,TRUE)),(VLOOKUP(E$3,'AA ratios - Metric'!$A$2:$K$324,6,TRUE))),"")</f>
        <v/>
      </c>
      <c r="F24" s="21" t="str">
        <f>IFERROR(MAX((VLOOKUP(F$4,'AA ratios - Metric'!$A$2:$K$324,6,TRUE)),(VLOOKUP(F$3,'AA ratios - Metric'!$A$2:$K$324,6,TRUE))),"")</f>
        <v/>
      </c>
      <c r="G24" s="21" t="str">
        <f>IFERROR(MAX((VLOOKUP(G$4,'AA ratios - Metric'!$A$2:$K$324,6,TRUE)),(VLOOKUP(G$3,'AA ratios - Metric'!$A$2:$K$324,6,TRUE))),"")</f>
        <v/>
      </c>
      <c r="H24" s="21" t="str">
        <f>IFERROR(MAX((VLOOKUP(H$4,'AA ratios - Metric'!$A$2:$K$324,6,TRUE)),(VLOOKUP(H$3,'AA ratios - Metric'!$A$2:$K$324,6,TRUE))),"")</f>
        <v/>
      </c>
      <c r="I24" s="21" t="str">
        <f>IFERROR(MAX((VLOOKUP(I$4,'AA ratios - Metric'!$A$2:$K$324,6,TRUE)),(VLOOKUP(I$3,'AA ratios - Metric'!$A$2:$K$324,6,TRUE))),"")</f>
        <v/>
      </c>
      <c r="J24" s="21" t="str">
        <f>IFERROR(MAX((VLOOKUP(J$4,'AA ratios - Metric'!$A$2:$K$324,6,TRUE)),(VLOOKUP(J$3,'AA ratios - Metric'!$A$2:$K$324,6,TRUE))),"")</f>
        <v/>
      </c>
      <c r="K24" s="21" t="str">
        <f>IFERROR(MAX((VLOOKUP(K$4,'AA ratios - Metric'!$A$2:$K$324,6,FALSE)),(VLOOKUP(K$3,'AA ratios - Metric'!$A$2:$K$324,6,FALSE))),"")</f>
        <v/>
      </c>
    </row>
    <row r="25" spans="2:20" x14ac:dyDescent="0.25">
      <c r="B25" s="31" t="s">
        <v>41</v>
      </c>
      <c r="C25" s="18" t="s">
        <v>17</v>
      </c>
      <c r="D25" s="21" t="str">
        <f>IFERROR(MAX((VLOOKUP(D$4,'AA ratios - Metric'!$A$2:$K$324,7,TRUE)),(VLOOKUP(D$3,'AA ratios - Metric'!$A$2:$K$324,7,TRUE))),"")</f>
        <v/>
      </c>
      <c r="E25" s="21" t="str">
        <f>IFERROR(MAX((VLOOKUP(E$4,'AA ratios - Metric'!$A$2:$K$324,7,TRUE)),(VLOOKUP(E$3,'AA ratios - Metric'!$A$2:$K$324,7,TRUE))),"")</f>
        <v/>
      </c>
      <c r="F25" s="21" t="str">
        <f>IFERROR(MAX((VLOOKUP(F$4,'AA ratios - Metric'!$A$2:$K$324,7,TRUE)),(VLOOKUP(F$3,'AA ratios - Metric'!$A$2:$K$324,7,TRUE))),"")</f>
        <v/>
      </c>
      <c r="G25" s="21" t="str">
        <f>IFERROR(MAX((VLOOKUP(G$4,'AA ratios - Metric'!$A$2:$K$324,7,TRUE)),(VLOOKUP(G$3,'AA ratios - Metric'!$A$2:$K$324,7,TRUE))),"")</f>
        <v/>
      </c>
      <c r="H25" s="21" t="str">
        <f>IFERROR(MAX((VLOOKUP(H$4,'AA ratios - Metric'!$A$2:$K$324,7,TRUE)),(VLOOKUP(H$3,'AA ratios - Metric'!$A$2:$K$324,7,TRUE))),"")</f>
        <v/>
      </c>
      <c r="I25" s="21" t="str">
        <f>IFERROR(MAX((VLOOKUP(I$4,'AA ratios - Metric'!$A$2:$K$324,7,TRUE)),(VLOOKUP(I$3,'AA ratios - Metric'!$A$2:$K$324,7,TRUE))),"")</f>
        <v/>
      </c>
      <c r="J25" s="21" t="str">
        <f>IFERROR(MAX((VLOOKUP(J$4,'AA ratios - Metric'!$A$2:$K$324,7,TRUE)),(VLOOKUP(J$3,'AA ratios - Metric'!$A$2:$K$324,7,TRUE))),"")</f>
        <v/>
      </c>
      <c r="K25" s="21" t="str">
        <f>IFERROR(MAX((VLOOKUP(K$4,'AA ratios - Metric'!$A$2:$K$324,7,FALSE)),(VLOOKUP(K$3,'AA ratios - Metric'!$A$2:$K$324,7,FALSE))),"")</f>
        <v/>
      </c>
    </row>
    <row r="26" spans="2:20" x14ac:dyDescent="0.25">
      <c r="B26" s="31" t="s">
        <v>42</v>
      </c>
      <c r="C26" s="18" t="s">
        <v>17</v>
      </c>
      <c r="D26" s="21" t="str">
        <f>IFERROR(MAX((VLOOKUP(D$4,'AA ratios - Metric'!$A$2:$K$324,8,TRUE)),(VLOOKUP(D$3,'AA ratios - Metric'!$A$2:$K$324,8,TRUE))),"")</f>
        <v/>
      </c>
      <c r="E26" s="21" t="str">
        <f>IFERROR(MAX((VLOOKUP(E$4,'AA ratios - Metric'!$A$2:$K$324,8,TRUE)),(VLOOKUP(E$3,'AA ratios - Metric'!$A$2:$K$324,8,TRUE))),"")</f>
        <v/>
      </c>
      <c r="F26" s="21" t="str">
        <f>IFERROR(MAX((VLOOKUP(F$4,'AA ratios - Metric'!$A$2:$K$324,8,TRUE)),(VLOOKUP(F$3,'AA ratios - Metric'!$A$2:$K$324,8,TRUE))),"")</f>
        <v/>
      </c>
      <c r="G26" s="21" t="str">
        <f>IFERROR(MAX((VLOOKUP(G$4,'AA ratios - Metric'!$A$2:$K$324,8,TRUE)),(VLOOKUP(G$3,'AA ratios - Metric'!$A$2:$K$324,8,TRUE))),"")</f>
        <v/>
      </c>
      <c r="H26" s="21" t="str">
        <f>IFERROR(MAX((VLOOKUP(H$4,'AA ratios - Metric'!$A$2:$K$324,8,TRUE)),(VLOOKUP(H$3,'AA ratios - Metric'!$A$2:$K$324,8,TRUE))),"")</f>
        <v/>
      </c>
      <c r="I26" s="21" t="str">
        <f>IFERROR(MAX((VLOOKUP(I$4,'AA ratios - Metric'!$A$2:$K$324,8,TRUE)),(VLOOKUP(I$3,'AA ratios - Metric'!$A$2:$K$324,8,TRUE))),"")</f>
        <v/>
      </c>
      <c r="J26" s="21" t="str">
        <f>IFERROR(MAX((VLOOKUP(J$4,'AA ratios - Metric'!$A$2:$K$324,8,TRUE)),(VLOOKUP(J$3,'AA ratios - Metric'!$A$2:$K$324,8,TRUE))),"")</f>
        <v/>
      </c>
      <c r="K26" s="21" t="str">
        <f>IFERROR(MAX((VLOOKUP(K$4,'AA ratios - Metric'!$A$2:$K$324,8,FALSE)),(VLOOKUP(K$3,'AA ratios - Metric'!$A$2:$K$324,8,FALSE))),"")</f>
        <v/>
      </c>
    </row>
    <row r="27" spans="2:20" x14ac:dyDescent="0.25">
      <c r="B27" s="31" t="s">
        <v>43</v>
      </c>
      <c r="C27" s="18" t="s">
        <v>17</v>
      </c>
      <c r="D27" s="21" t="str">
        <f>IFERROR(MAX((VLOOKUP(D$4,'AA ratios - Metric'!$A$2:$K$324,9,TRUE)),(VLOOKUP(D$3,'AA ratios - Metric'!$A$2:$K$324,9,TRUE))),"")</f>
        <v/>
      </c>
      <c r="E27" s="21" t="str">
        <f>IFERROR(MAX((VLOOKUP(E$4,'AA ratios - Metric'!$A$2:$K$324,9,TRUE)),(VLOOKUP(E$3,'AA ratios - Metric'!$A$2:$K$324,9,TRUE))),"")</f>
        <v/>
      </c>
      <c r="F27" s="21" t="str">
        <f>IFERROR(MAX((VLOOKUP(F$4,'AA ratios - Metric'!$A$2:$K$324,9,TRUE)),(VLOOKUP(F$3,'AA ratios - Metric'!$A$2:$K$324,9,TRUE))),"")</f>
        <v/>
      </c>
      <c r="G27" s="21" t="str">
        <f>IFERROR(MAX((VLOOKUP(G$4,'AA ratios - Metric'!$A$2:$K$324,9,TRUE)),(VLOOKUP(G$3,'AA ratios - Metric'!$A$2:$K$324,9,TRUE))),"")</f>
        <v/>
      </c>
      <c r="H27" s="21" t="str">
        <f>IFERROR(MAX((VLOOKUP(H$4,'AA ratios - Metric'!$A$2:$K$324,9,TRUE)),(VLOOKUP(H$3,'AA ratios - Metric'!$A$2:$K$324,9,TRUE))),"")</f>
        <v/>
      </c>
      <c r="I27" s="21" t="str">
        <f>IFERROR(MAX((VLOOKUP(I$4,'AA ratios - Metric'!$A$2:$K$324,9,TRUE)),(VLOOKUP(I$3,'AA ratios - Metric'!$A$2:$K$324,9,TRUE))),"")</f>
        <v/>
      </c>
      <c r="J27" s="21" t="str">
        <f>IFERROR(MAX((VLOOKUP(J$4,'AA ratios - Metric'!$A$2:$K$324,9,TRUE)),(VLOOKUP(J$3,'AA ratios - Metric'!$A$2:$K$324,9,TRUE))),"")</f>
        <v/>
      </c>
      <c r="K27" s="21" t="str">
        <f>IFERROR(MAX((VLOOKUP(K$4,'AA ratios - Metric'!$A$2:$K$324,9,FALSE)),(VLOOKUP(K$3,'AA ratios - Metric'!$A$2:$K$324,9,FALSE))),"")</f>
        <v/>
      </c>
    </row>
    <row r="28" spans="2:20" ht="15.75" thickBot="1" x14ac:dyDescent="0.3">
      <c r="B28" s="32" t="s">
        <v>50</v>
      </c>
      <c r="C28" s="29" t="s">
        <v>12</v>
      </c>
      <c r="D28" s="42" t="str">
        <f>IFERROR(AVERAGE((VLOOKUP(D$4,'AA ratios - Metric'!$A$2:$K$324,10,TRUE)),(VLOOKUP(D$3,'AA ratios - Metric'!$A$2:$K$324,10,TRUE))),"")</f>
        <v/>
      </c>
      <c r="E28" s="42" t="str">
        <f>IFERROR(AVERAGE((VLOOKUP(E$4,'AA ratios - Metric'!$A$2:$K$324,10,TRUE)),(VLOOKUP(E$3,'AA ratios - Metric'!$A$2:$K$324,10,TRUE))),"")</f>
        <v/>
      </c>
      <c r="F28" s="42" t="str">
        <f>IFERROR(AVERAGE((VLOOKUP(F$4,'AA ratios - Metric'!$A$2:$K$324,10,TRUE)),(VLOOKUP(F$3,'AA ratios - Metric'!$A$2:$K$324,10,TRUE))),"")</f>
        <v/>
      </c>
      <c r="G28" s="42" t="str">
        <f>IFERROR(AVERAGE((VLOOKUP(G$4,'AA ratios - Metric'!$A$2:$K$324,10,TRUE)),(VLOOKUP(G$3,'AA ratios - Metric'!$A$2:$K$324,10,TRUE))),"")</f>
        <v/>
      </c>
      <c r="H28" s="42" t="str">
        <f>IFERROR(AVERAGE((VLOOKUP(H$4,'AA ratios - Metric'!$A$2:$K$324,10,TRUE)),(VLOOKUP(H$3,'AA ratios - Metric'!$A$2:$K$324,10,TRUE))),"")</f>
        <v/>
      </c>
      <c r="I28" s="42" t="str">
        <f>IFERROR(AVERAGE((VLOOKUP(I$4,'AA ratios - Metric'!$A$2:$K$324,10,TRUE)),(VLOOKUP(I$3,'AA ratios - Metric'!$A$2:$K$324,10,TRUE))),"")</f>
        <v/>
      </c>
      <c r="J28" s="42" t="str">
        <f>IFERROR(AVERAGE((VLOOKUP(J$4,'AA ratios - Metric'!$A$2:$K$324,10,TRUE)),(VLOOKUP(J$3,'AA ratios - Metric'!$A$2:$K$324,10,TRUE))),"")</f>
        <v/>
      </c>
      <c r="K28" s="42" t="str">
        <f>IFERROR(AVERAGE((VLOOKUP(K$4,'AA ratios - Metric'!$A$2:$K$324,10,FALSE)),(VLOOKUP(K$3,'AA ratios - Metric'!$A$2:$K$324,10,FALSE))),"")</f>
        <v/>
      </c>
    </row>
    <row r="29" spans="2:20" x14ac:dyDescent="0.25">
      <c r="B29" s="10" t="s">
        <v>49</v>
      </c>
      <c r="D29" s="13"/>
      <c r="E29" s="13"/>
      <c r="F29" s="13"/>
      <c r="G29" s="13"/>
      <c r="H29" s="13"/>
      <c r="I29" s="3"/>
      <c r="J29" s="3"/>
      <c r="K29" s="3"/>
      <c r="L29" s="3"/>
    </row>
    <row r="30" spans="2:20" x14ac:dyDescent="0.25">
      <c r="B30" s="9" t="s">
        <v>48</v>
      </c>
      <c r="C30" s="2" t="s">
        <v>12</v>
      </c>
      <c r="D30" s="13" t="str">
        <f t="shared" ref="D30:K30" si="16">IF(D3&gt;0,0.25,"")</f>
        <v/>
      </c>
      <c r="E30" s="13" t="str">
        <f t="shared" si="16"/>
        <v/>
      </c>
      <c r="F30" s="13" t="str">
        <f t="shared" si="16"/>
        <v/>
      </c>
      <c r="G30" s="13" t="str">
        <f t="shared" si="16"/>
        <v/>
      </c>
      <c r="H30" s="13" t="str">
        <f t="shared" si="16"/>
        <v/>
      </c>
      <c r="I30" s="13" t="str">
        <f t="shared" si="16"/>
        <v/>
      </c>
      <c r="J30" s="13" t="str">
        <f t="shared" si="16"/>
        <v/>
      </c>
      <c r="K30" s="13" t="str">
        <f t="shared" si="16"/>
        <v/>
      </c>
    </row>
    <row r="31" spans="2:20" x14ac:dyDescent="0.25">
      <c r="B31" s="9" t="s">
        <v>18</v>
      </c>
      <c r="C31" s="2" t="s">
        <v>12</v>
      </c>
      <c r="D31" s="13" t="str">
        <f>IF(D3&gt;0,0.25,"")</f>
        <v/>
      </c>
      <c r="E31" s="13" t="str">
        <f t="shared" ref="E31:K31" si="17">IF(E3&gt;0,0.25,"")</f>
        <v/>
      </c>
      <c r="F31" s="13" t="str">
        <f t="shared" si="17"/>
        <v/>
      </c>
      <c r="G31" s="13" t="str">
        <f t="shared" si="17"/>
        <v/>
      </c>
      <c r="H31" s="13" t="str">
        <f t="shared" si="17"/>
        <v/>
      </c>
      <c r="I31" s="13" t="str">
        <f t="shared" si="17"/>
        <v/>
      </c>
      <c r="J31" s="13" t="str">
        <f t="shared" si="17"/>
        <v/>
      </c>
      <c r="K31" s="13" t="str">
        <f t="shared" si="17"/>
        <v/>
      </c>
    </row>
    <row r="32" spans="2:20" x14ac:dyDescent="0.25">
      <c r="B32" s="31" t="s">
        <v>45</v>
      </c>
      <c r="C32" s="13" t="s">
        <v>9</v>
      </c>
      <c r="D32" s="17" t="str">
        <f>IFERROR(IF(D34&lt;D37,D37,D34),"")</f>
        <v/>
      </c>
      <c r="E32" s="17" t="str">
        <f t="shared" ref="E32:J32" si="18">IFERROR(IF(E34&lt;E37,E37,E34),"")</f>
        <v/>
      </c>
      <c r="F32" s="17" t="str">
        <f t="shared" si="18"/>
        <v/>
      </c>
      <c r="G32" s="17" t="str">
        <f t="shared" si="18"/>
        <v/>
      </c>
      <c r="H32" s="17" t="str">
        <f t="shared" si="18"/>
        <v/>
      </c>
      <c r="I32" s="17" t="str">
        <f t="shared" si="18"/>
        <v/>
      </c>
      <c r="J32" s="17" t="str">
        <f t="shared" si="18"/>
        <v/>
      </c>
      <c r="K32" s="19" t="str">
        <f t="shared" ref="K32:M32" si="19">IFERROR(IF(AND(K3&gt;0,K11&lt;40),K33*1.08,(K33+((-0.0000000031*K11^4+0.0000013234*K11^3-0.0002087068*K11^2+0.0142221655*K11-0.3126825057)*K33))*1.08),"")</f>
        <v/>
      </c>
      <c r="L32" s="19" t="str">
        <f t="shared" si="19"/>
        <v/>
      </c>
      <c r="M32" s="19" t="str">
        <f t="shared" si="19"/>
        <v/>
      </c>
      <c r="N32" s="12"/>
      <c r="O32" s="12"/>
      <c r="P32" s="12"/>
      <c r="Q32" s="12"/>
      <c r="R32" s="12"/>
      <c r="S32" s="12"/>
      <c r="T32" s="12" t="s">
        <v>55</v>
      </c>
    </row>
    <row r="33" spans="2:19" hidden="1" x14ac:dyDescent="0.25">
      <c r="B33" s="54" t="s">
        <v>67</v>
      </c>
      <c r="C33" s="13"/>
      <c r="D33" s="17" t="str">
        <f>IF(D3&gt;0,(0.0000306269361758696*(D11^2) - 0.00966436147205444*(D11) +1.47675067863161)," ")</f>
        <v xml:space="preserve"> </v>
      </c>
      <c r="E33" s="17" t="str">
        <f t="shared" ref="E33:J33" si="20">IF(E3&gt;0,(0.0000306269361758696*(E11^2) - 0.00966436147205444*(E11) +1.47675067863161)," ")</f>
        <v xml:space="preserve"> </v>
      </c>
      <c r="F33" s="17" t="str">
        <f>IF(F3&gt;0,(0.0000306269361758696*(F11^2) - 0.00966436147205444*(F11) +1.47675067863161)," ")</f>
        <v xml:space="preserve"> </v>
      </c>
      <c r="G33" s="17" t="str">
        <f t="shared" si="20"/>
        <v xml:space="preserve"> </v>
      </c>
      <c r="H33" s="17" t="str">
        <f t="shared" si="20"/>
        <v xml:space="preserve"> </v>
      </c>
      <c r="I33" s="17" t="str">
        <f t="shared" si="20"/>
        <v xml:space="preserve"> </v>
      </c>
      <c r="J33" s="17" t="str">
        <f t="shared" si="20"/>
        <v xml:space="preserve"> </v>
      </c>
      <c r="K33" s="19" t="str">
        <f t="shared" ref="K33:M33" si="21">IFERROR(IF(K34&lt;K37,K37,K34),"")</f>
        <v xml:space="preserve"> </v>
      </c>
      <c r="L33" s="19" t="str">
        <f t="shared" si="21"/>
        <v xml:space="preserve"> </v>
      </c>
      <c r="M33" s="19" t="str">
        <f t="shared" si="21"/>
        <v xml:space="preserve"> </v>
      </c>
      <c r="N33" s="12"/>
      <c r="O33" s="12"/>
      <c r="P33" s="12"/>
      <c r="Q33" s="12"/>
      <c r="R33" s="12"/>
      <c r="S33" s="12"/>
    </row>
    <row r="34" spans="2:19" hidden="1" x14ac:dyDescent="0.25">
      <c r="B34" s="54" t="s">
        <v>92</v>
      </c>
      <c r="C34" s="13"/>
      <c r="D34" s="17" t="str">
        <f>IFERROR(IF(AND(D3&gt;0,D11&lt;40),D33*1.08,(D33+((-0.0000000031*D11^4+0.0000013234*D11^3-0.0002087068*D11^2+0.0142221655*D11-0.3126825057)*D33))*1.08),"")</f>
        <v/>
      </c>
      <c r="E34" s="17" t="str">
        <f t="shared" ref="E34:J34" si="22">IFERROR(IF(AND(E3&gt;0,E11&lt;40),E33*1.08,(E33+((-0.0000000031*E11^4+0.0000013234*E11^3-0.0002087068*E11^2+0.0142221655*E11-0.3126825057)*E33))*1.08),"")</f>
        <v/>
      </c>
      <c r="F34" s="17" t="str">
        <f t="shared" si="22"/>
        <v/>
      </c>
      <c r="G34" s="17" t="str">
        <f t="shared" si="22"/>
        <v/>
      </c>
      <c r="H34" s="17" t="str">
        <f t="shared" si="22"/>
        <v/>
      </c>
      <c r="I34" s="17" t="str">
        <f t="shared" si="22"/>
        <v/>
      </c>
      <c r="J34" s="17" t="str">
        <f t="shared" si="22"/>
        <v/>
      </c>
      <c r="K34" s="17" t="str">
        <f t="shared" ref="K34:M34" si="23">IF(K3&gt;0,(0.0000306269361758696*(K11^2) - 0.00966436147205444*(K11) +1.47675067863161)," ")</f>
        <v xml:space="preserve"> </v>
      </c>
      <c r="L34" s="17" t="str">
        <f t="shared" si="23"/>
        <v xml:space="preserve"> </v>
      </c>
      <c r="M34" s="17" t="str">
        <f t="shared" si="23"/>
        <v xml:space="preserve"> </v>
      </c>
      <c r="N34" s="12"/>
      <c r="O34" s="12"/>
      <c r="P34" s="12"/>
      <c r="Q34" s="12"/>
      <c r="R34" s="12"/>
      <c r="S34" s="12"/>
    </row>
    <row r="35" spans="2:19" hidden="1" x14ac:dyDescent="0.25">
      <c r="B35" s="54" t="s">
        <v>93</v>
      </c>
      <c r="C35" s="13"/>
      <c r="D35" s="17" t="str">
        <f>IF(D3&gt;0,(0.0000306269361758696*(D9^2) - 0.00966436147205444*(D9) +1.47675067863161)," ")</f>
        <v xml:space="preserve"> </v>
      </c>
      <c r="E35" s="17" t="str">
        <f t="shared" ref="E35:J35" si="24">IF(E3&gt;0,(0.0000306269361758696*(E9^2) - 0.00966436147205444*(E9) +1.47675067863161)," ")</f>
        <v xml:space="preserve"> </v>
      </c>
      <c r="F35" s="17" t="str">
        <f t="shared" si="24"/>
        <v xml:space="preserve"> </v>
      </c>
      <c r="G35" s="17" t="str">
        <f t="shared" si="24"/>
        <v xml:space="preserve"> </v>
      </c>
      <c r="H35" s="17" t="str">
        <f t="shared" si="24"/>
        <v xml:space="preserve"> </v>
      </c>
      <c r="I35" s="17" t="str">
        <f t="shared" si="24"/>
        <v xml:space="preserve"> </v>
      </c>
      <c r="J35" s="17" t="str">
        <f t="shared" si="24"/>
        <v xml:space="preserve"> </v>
      </c>
      <c r="K35" s="17" t="str">
        <f t="shared" ref="K35:M35" si="25">IF(K3&gt;0,(0.0000306269361758696*(K9^2) - 0.00966436147205444*(K9) +1.47675067863161)," ")</f>
        <v xml:space="preserve"> </v>
      </c>
      <c r="L35" s="17" t="str">
        <f t="shared" si="25"/>
        <v xml:space="preserve"> </v>
      </c>
      <c r="M35" s="17" t="str">
        <f t="shared" si="25"/>
        <v xml:space="preserve"> </v>
      </c>
      <c r="N35" s="12"/>
      <c r="O35" s="12"/>
      <c r="P35" s="12"/>
      <c r="Q35" s="12"/>
      <c r="R35" s="12"/>
      <c r="S35" s="12"/>
    </row>
    <row r="36" spans="2:19" hidden="1" x14ac:dyDescent="0.25">
      <c r="B36" s="9" t="s">
        <v>91</v>
      </c>
      <c r="C36" s="13"/>
      <c r="D36" s="17" t="str">
        <f>IFERROR(IF(AND(D3&gt;0,D9&lt;40),D35*1.08,(D35+((-0.0000000031*D9^4+0.0000013234*D9^3-0.0002087068*D9^2+0.0142221655*D9-0.3126825057)*D35))*1.08),"")</f>
        <v/>
      </c>
      <c r="E36" s="17" t="str">
        <f t="shared" ref="E36:J36" si="26">IFERROR(IF(AND(E3&gt;0,E9&lt;40),E35*1.08,(E35+((-0.0000000031*E9^4+0.0000013234*E9^3-0.0002087068*E9^2+0.0142221655*E9-0.3126825057)*E35))*1.08),"")</f>
        <v/>
      </c>
      <c r="F36" s="17" t="str">
        <f t="shared" si="26"/>
        <v/>
      </c>
      <c r="G36" s="17" t="str">
        <f t="shared" si="26"/>
        <v/>
      </c>
      <c r="H36" s="17" t="str">
        <f t="shared" si="26"/>
        <v/>
      </c>
      <c r="I36" s="17" t="str">
        <f t="shared" si="26"/>
        <v/>
      </c>
      <c r="J36" s="17" t="str">
        <f t="shared" si="26"/>
        <v/>
      </c>
      <c r="K36" s="17"/>
      <c r="L36" s="17"/>
      <c r="M36" s="17"/>
      <c r="N36" s="12"/>
      <c r="O36" s="12"/>
      <c r="P36" s="12"/>
      <c r="Q36" s="12"/>
      <c r="R36" s="12"/>
      <c r="S36" s="12"/>
    </row>
    <row r="37" spans="2:19" hidden="1" x14ac:dyDescent="0.25">
      <c r="B37" s="9" t="s">
        <v>90</v>
      </c>
      <c r="C37" s="13"/>
      <c r="D37" s="17" t="str">
        <f>IFERROR(D36*0.85,"")</f>
        <v/>
      </c>
      <c r="E37" s="17" t="str">
        <f t="shared" ref="E37:J37" si="27">IFERROR(E36*0.85,"")</f>
        <v/>
      </c>
      <c r="F37" s="17" t="str">
        <f t="shared" si="27"/>
        <v/>
      </c>
      <c r="G37" s="17" t="str">
        <f t="shared" si="27"/>
        <v/>
      </c>
      <c r="H37" s="17" t="str">
        <f t="shared" si="27"/>
        <v/>
      </c>
      <c r="I37" s="17" t="str">
        <f t="shared" si="27"/>
        <v/>
      </c>
      <c r="J37" s="17" t="str">
        <f t="shared" si="27"/>
        <v/>
      </c>
      <c r="K37" s="17" t="str">
        <f t="shared" ref="K37:L37" si="28">IFERROR(K35*0.85,"")</f>
        <v/>
      </c>
      <c r="L37" s="17" t="str">
        <f t="shared" si="28"/>
        <v/>
      </c>
      <c r="M37" s="12"/>
      <c r="N37" s="12"/>
      <c r="O37" s="12"/>
      <c r="P37" s="12"/>
      <c r="Q37" s="12"/>
      <c r="R37" s="12"/>
      <c r="S37" s="12"/>
    </row>
    <row r="38" spans="2:19" x14ac:dyDescent="0.25">
      <c r="B38" s="31" t="s">
        <v>44</v>
      </c>
      <c r="C38" s="13" t="s">
        <v>12</v>
      </c>
      <c r="D38" s="19" t="str">
        <f>IF(D$5&gt;0,(D32*(D$5)/10000)," ")</f>
        <v xml:space="preserve"> </v>
      </c>
      <c r="E38" s="19" t="str">
        <f t="shared" ref="E38:K38" si="29">IF(E$5&gt;0,(E32*(E$5)/10000)," ")</f>
        <v xml:space="preserve"> </v>
      </c>
      <c r="F38" s="19" t="str">
        <f t="shared" si="29"/>
        <v xml:space="preserve"> </v>
      </c>
      <c r="G38" s="19" t="str">
        <f t="shared" si="29"/>
        <v xml:space="preserve"> </v>
      </c>
      <c r="H38" s="19" t="str">
        <f t="shared" si="29"/>
        <v xml:space="preserve"> </v>
      </c>
      <c r="I38" s="19" t="str">
        <f t="shared" si="29"/>
        <v xml:space="preserve"> </v>
      </c>
      <c r="J38" s="19" t="str">
        <f t="shared" si="29"/>
        <v xml:space="preserve"> </v>
      </c>
      <c r="K38" s="19" t="str">
        <f t="shared" si="29"/>
        <v xml:space="preserve"> </v>
      </c>
    </row>
    <row r="39" spans="2:19" x14ac:dyDescent="0.25">
      <c r="B39" s="31" t="s">
        <v>46</v>
      </c>
      <c r="C39" s="13" t="s">
        <v>9</v>
      </c>
      <c r="D39" s="19" t="str">
        <f>IFERROR(D32*0.86,"")</f>
        <v/>
      </c>
      <c r="E39" s="19" t="str">
        <f>IFERROR(E32*0.86,"")</f>
        <v/>
      </c>
      <c r="F39" s="19" t="str">
        <f t="shared" ref="F39:K39" si="30">IFERROR(F32*0.86,"")</f>
        <v/>
      </c>
      <c r="G39" s="19" t="str">
        <f t="shared" si="30"/>
        <v/>
      </c>
      <c r="H39" s="19" t="str">
        <f t="shared" si="30"/>
        <v/>
      </c>
      <c r="I39" s="19" t="str">
        <f t="shared" si="30"/>
        <v/>
      </c>
      <c r="J39" s="19" t="str">
        <f t="shared" si="30"/>
        <v/>
      </c>
      <c r="K39" s="19" t="str">
        <f t="shared" si="30"/>
        <v/>
      </c>
    </row>
    <row r="40" spans="2:19" x14ac:dyDescent="0.25">
      <c r="B40" s="31" t="s">
        <v>47</v>
      </c>
      <c r="C40" s="13" t="s">
        <v>12</v>
      </c>
      <c r="D40" s="19" t="str">
        <f>IF(D$5&gt;0,(D39*(D$5)/10000)," ")</f>
        <v xml:space="preserve"> </v>
      </c>
      <c r="E40" s="19" t="str">
        <f t="shared" ref="E40:J40" si="31">IF(E$5&gt;0,(E39*(E$5)/10000)," ")</f>
        <v xml:space="preserve"> </v>
      </c>
      <c r="F40" s="19" t="str">
        <f t="shared" si="31"/>
        <v xml:space="preserve"> </v>
      </c>
      <c r="G40" s="19" t="str">
        <f t="shared" si="31"/>
        <v xml:space="preserve"> </v>
      </c>
      <c r="H40" s="19" t="str">
        <f t="shared" si="31"/>
        <v xml:space="preserve"> </v>
      </c>
      <c r="I40" s="19" t="str">
        <f t="shared" si="31"/>
        <v xml:space="preserve"> </v>
      </c>
      <c r="J40" s="19" t="str">
        <f t="shared" si="31"/>
        <v xml:space="preserve"> </v>
      </c>
      <c r="K40" s="19" t="str">
        <f t="shared" ref="K40" si="32">IF(K$5&gt;0,(K39*(K$5*2.204622)/10000)," ")</f>
        <v xml:space="preserve"> </v>
      </c>
    </row>
    <row r="41" spans="2:19" x14ac:dyDescent="0.25">
      <c r="B41" s="31" t="s">
        <v>85</v>
      </c>
      <c r="C41" s="13" t="s">
        <v>17</v>
      </c>
      <c r="D41" s="13" t="str">
        <f>IF(D3&gt;0,"1.25-1.50","")</f>
        <v/>
      </c>
      <c r="E41" s="13" t="str">
        <f t="shared" ref="E41:J41" si="33">IF(E3&gt;0,"1.25-1.50","")</f>
        <v/>
      </c>
      <c r="F41" s="13" t="str">
        <f t="shared" si="33"/>
        <v/>
      </c>
      <c r="G41" s="13" t="str">
        <f t="shared" si="33"/>
        <v/>
      </c>
      <c r="H41" s="13" t="str">
        <f t="shared" si="33"/>
        <v/>
      </c>
      <c r="I41" s="13" t="str">
        <f t="shared" si="33"/>
        <v/>
      </c>
      <c r="J41" s="13" t="str">
        <f t="shared" si="33"/>
        <v/>
      </c>
      <c r="K41" s="13" t="str">
        <f t="shared" ref="K41" si="34">IF(K3&gt;0,"1.25-1.50:1","")</f>
        <v/>
      </c>
    </row>
    <row r="42" spans="2:19" x14ac:dyDescent="0.25">
      <c r="B42" s="10" t="s">
        <v>51</v>
      </c>
      <c r="D42" s="13"/>
      <c r="E42" s="13"/>
      <c r="F42" s="13"/>
      <c r="G42" s="13"/>
      <c r="H42" s="13"/>
      <c r="I42" s="3"/>
      <c r="J42" s="3"/>
      <c r="K42" s="3"/>
    </row>
    <row r="43" spans="2:19" x14ac:dyDescent="0.25">
      <c r="B43" s="9" t="s">
        <v>19</v>
      </c>
      <c r="C43" s="2" t="s">
        <v>56</v>
      </c>
      <c r="D43" s="18" t="str">
        <f>IF(D$6="","",IF(AND(D$6&gt;0,D$7&lt;=60),125,125))</f>
        <v/>
      </c>
      <c r="E43" s="18" t="str">
        <f t="shared" ref="E43:J43" si="35">IF(E$6="","",IF(AND(E$6&gt;0,E$7&lt;=60),125,125))</f>
        <v/>
      </c>
      <c r="F43" s="18" t="str">
        <f t="shared" si="35"/>
        <v/>
      </c>
      <c r="G43" s="18" t="str">
        <f t="shared" si="35"/>
        <v/>
      </c>
      <c r="H43" s="18" t="str">
        <f t="shared" si="35"/>
        <v/>
      </c>
      <c r="I43" s="18" t="str">
        <f t="shared" si="35"/>
        <v/>
      </c>
      <c r="J43" s="18" t="str">
        <f t="shared" si="35"/>
        <v/>
      </c>
      <c r="K43" s="18" t="str">
        <f t="shared" ref="K43" si="36">IF(K$6="","",IF(AND(K$6&gt;0,K$7&lt;=60),120,125))</f>
        <v/>
      </c>
      <c r="L43" s="18"/>
    </row>
    <row r="44" spans="2:19" x14ac:dyDescent="0.25">
      <c r="B44" s="9" t="s">
        <v>20</v>
      </c>
      <c r="C44" s="2" t="s">
        <v>56</v>
      </c>
      <c r="D44" s="18" t="str">
        <f>IF(D$6="","",IF(AND(D$6&gt;0,D$7&lt;=133),100,100))</f>
        <v/>
      </c>
      <c r="E44" s="18" t="str">
        <f t="shared" ref="E44:J44" si="37">IF(E$6="","",IF(AND(E$6&gt;0,E$7&lt;=133),100,100))</f>
        <v/>
      </c>
      <c r="F44" s="18" t="str">
        <f t="shared" si="37"/>
        <v/>
      </c>
      <c r="G44" s="18" t="str">
        <f t="shared" si="37"/>
        <v/>
      </c>
      <c r="H44" s="18" t="str">
        <f t="shared" si="37"/>
        <v/>
      </c>
      <c r="I44" s="18" t="str">
        <f t="shared" si="37"/>
        <v/>
      </c>
      <c r="J44" s="18" t="str">
        <f t="shared" si="37"/>
        <v/>
      </c>
      <c r="K44" s="18" t="str">
        <f t="shared" ref="K44" si="38">IF(K$6="","",IF(AND(K$6&gt;0,K$7&lt;=133),80,100))</f>
        <v/>
      </c>
      <c r="L44" s="18"/>
    </row>
    <row r="45" spans="2:19" x14ac:dyDescent="0.25">
      <c r="B45" s="9" t="s">
        <v>21</v>
      </c>
      <c r="C45" s="2" t="s">
        <v>56</v>
      </c>
      <c r="D45" s="18" t="str">
        <f>IF(D$6="","",IF(AND(D$6&gt;0,D$7&lt;=133),50,50))</f>
        <v/>
      </c>
      <c r="E45" s="18" t="str">
        <f t="shared" ref="E45:J45" si="39">IF(E$6="","",IF(AND(E$6&gt;0,E$7&lt;=133),50,50))</f>
        <v/>
      </c>
      <c r="F45" s="18" t="str">
        <f t="shared" si="39"/>
        <v/>
      </c>
      <c r="G45" s="18" t="str">
        <f t="shared" si="39"/>
        <v/>
      </c>
      <c r="H45" s="18" t="str">
        <f t="shared" si="39"/>
        <v/>
      </c>
      <c r="I45" s="18" t="str">
        <f t="shared" si="39"/>
        <v/>
      </c>
      <c r="J45" s="18" t="str">
        <f t="shared" si="39"/>
        <v/>
      </c>
      <c r="K45" s="18" t="str">
        <f t="shared" ref="K45" si="40">IF(K$6="","",IF(AND(K$6&gt;0,K$7&lt;=133),30,50))</f>
        <v/>
      </c>
      <c r="L45" s="18"/>
    </row>
    <row r="46" spans="2:19" x14ac:dyDescent="0.25">
      <c r="B46" s="9" t="s">
        <v>22</v>
      </c>
      <c r="C46" s="2" t="s">
        <v>56</v>
      </c>
      <c r="D46" s="18" t="str">
        <f>IF(D$6="","",IF(AND(D$6&gt;0,D$7&lt;=133),15,15))</f>
        <v/>
      </c>
      <c r="E46" s="18" t="str">
        <f t="shared" ref="E46:J46" si="41">IF(E$6="","",IF(AND(E$6&gt;0,E$7&lt;=133),15,15))</f>
        <v/>
      </c>
      <c r="F46" s="18" t="str">
        <f t="shared" si="41"/>
        <v/>
      </c>
      <c r="G46" s="18" t="str">
        <f t="shared" si="41"/>
        <v/>
      </c>
      <c r="H46" s="18" t="str">
        <f t="shared" si="41"/>
        <v/>
      </c>
      <c r="I46" s="18" t="str">
        <f t="shared" si="41"/>
        <v/>
      </c>
      <c r="J46" s="18" t="str">
        <f t="shared" si="41"/>
        <v/>
      </c>
      <c r="K46" s="18" t="str">
        <f t="shared" ref="K46" si="42">IF(K$6="","",IF(AND(K$6&gt;0,K$7&lt;=133),12,15))</f>
        <v/>
      </c>
      <c r="L46" s="18"/>
    </row>
    <row r="47" spans="2:19" x14ac:dyDescent="0.25">
      <c r="B47" s="9" t="s">
        <v>23</v>
      </c>
      <c r="C47" s="2" t="s">
        <v>56</v>
      </c>
      <c r="D47" s="17" t="str">
        <f>IF(D$6="","",IF(AND(D$6&gt;0,D$7&lt;=133),0.35,0.35))</f>
        <v/>
      </c>
      <c r="E47" s="17" t="str">
        <f t="shared" ref="E47:J47" si="43">IF(E$6="","",IF(AND(E$6&gt;0,E$7&lt;=133),0.35,0.35))</f>
        <v/>
      </c>
      <c r="F47" s="17" t="str">
        <f t="shared" si="43"/>
        <v/>
      </c>
      <c r="G47" s="17" t="str">
        <f t="shared" si="43"/>
        <v/>
      </c>
      <c r="H47" s="17" t="str">
        <f t="shared" si="43"/>
        <v/>
      </c>
      <c r="I47" s="17" t="str">
        <f t="shared" si="43"/>
        <v/>
      </c>
      <c r="J47" s="17" t="str">
        <f t="shared" si="43"/>
        <v/>
      </c>
      <c r="K47" s="17" t="str">
        <f t="shared" ref="K47" si="44">IF(K$6="","",IF(AND(K$6&gt;0,K$7&lt;=133),0.4,0.35))</f>
        <v/>
      </c>
      <c r="L47" s="17"/>
    </row>
    <row r="48" spans="2:19" x14ac:dyDescent="0.25">
      <c r="B48" s="9" t="s">
        <v>24</v>
      </c>
      <c r="C48" s="2" t="s">
        <v>56</v>
      </c>
      <c r="D48" s="17" t="str">
        <f>IF(D$6="","",IF(AND(D$6&gt;0,D$7&lt;=133),0.3,0.3))</f>
        <v/>
      </c>
      <c r="E48" s="17" t="str">
        <f t="shared" ref="E48:J48" si="45">IF(E$6="","",IF(AND(E$6&gt;0,E$7&lt;=133),0.3,0.3))</f>
        <v/>
      </c>
      <c r="F48" s="17" t="str">
        <f t="shared" si="45"/>
        <v/>
      </c>
      <c r="G48" s="17" t="str">
        <f t="shared" si="45"/>
        <v/>
      </c>
      <c r="H48" s="17" t="str">
        <f t="shared" si="45"/>
        <v/>
      </c>
      <c r="I48" s="17" t="str">
        <f t="shared" si="45"/>
        <v/>
      </c>
      <c r="J48" s="17" t="str">
        <f t="shared" si="45"/>
        <v/>
      </c>
      <c r="K48" s="17" t="str">
        <f t="shared" ref="K48" si="46">IF(K$6="","",IF(AND(K$6&gt;0,K$7&lt;=133),0.3,0.3))</f>
        <v/>
      </c>
      <c r="L48" s="17"/>
    </row>
    <row r="49" spans="2:11" x14ac:dyDescent="0.25">
      <c r="B49" s="10" t="s">
        <v>52</v>
      </c>
      <c r="C49" s="2" t="s">
        <v>89</v>
      </c>
      <c r="D49" s="13"/>
      <c r="E49" s="13"/>
      <c r="F49" s="13"/>
      <c r="G49" s="13"/>
      <c r="H49" s="13"/>
      <c r="I49" s="3"/>
      <c r="J49" s="3"/>
      <c r="K49" s="3"/>
    </row>
    <row r="50" spans="2:11" x14ac:dyDescent="0.25">
      <c r="B50" s="26" t="s">
        <v>25</v>
      </c>
      <c r="C50" s="13" t="s">
        <v>86</v>
      </c>
      <c r="D50" s="18" t="str">
        <f>IF(D$6="","",IF(AND(D$6&gt;0,D$7&lt;=133),9920,9920))</f>
        <v/>
      </c>
      <c r="E50" s="18" t="str">
        <f t="shared" ref="E50:J50" si="47">IF(E$6="","",IF(AND(E$6&gt;0,E$7&lt;=133),9920,9920))</f>
        <v/>
      </c>
      <c r="F50" s="18" t="str">
        <f t="shared" si="47"/>
        <v/>
      </c>
      <c r="G50" s="18" t="str">
        <f t="shared" si="47"/>
        <v/>
      </c>
      <c r="H50" s="18" t="str">
        <f t="shared" si="47"/>
        <v/>
      </c>
      <c r="I50" s="18" t="str">
        <f>IF(I$6="","",IF(AND(I$6&gt;0,I$7&lt;=133),9920,9920))</f>
        <v/>
      </c>
      <c r="J50" s="18" t="str">
        <f t="shared" si="47"/>
        <v/>
      </c>
      <c r="K50" s="18" t="str">
        <f t="shared" ref="K50" si="48">IF(K$6="","",IF(AND(K$6&gt;0,K$7&lt;=133),6615,9920))</f>
        <v/>
      </c>
    </row>
    <row r="51" spans="2:11" x14ac:dyDescent="0.25">
      <c r="B51" s="26" t="s">
        <v>26</v>
      </c>
      <c r="C51" s="13" t="s">
        <v>86</v>
      </c>
      <c r="D51" s="18" t="str">
        <f>IF(D$6="","",IF(AND(D$6&gt;0,D$7&lt;=133),1985,1985))</f>
        <v/>
      </c>
      <c r="E51" s="18" t="str">
        <f t="shared" ref="E51:J51" si="49">IF(E$6="","",IF(AND(E$6&gt;0,E$7&lt;=133),1985,1985))</f>
        <v/>
      </c>
      <c r="F51" s="18" t="str">
        <f t="shared" si="49"/>
        <v/>
      </c>
      <c r="G51" s="18" t="str">
        <f t="shared" si="49"/>
        <v/>
      </c>
      <c r="H51" s="18" t="str">
        <f t="shared" si="49"/>
        <v/>
      </c>
      <c r="I51" s="18" t="str">
        <f>IF(I$6="","",IF(AND(I$6&gt;0,I$7&lt;=133),1985,1985))</f>
        <v/>
      </c>
      <c r="J51" s="18" t="str">
        <f t="shared" si="49"/>
        <v/>
      </c>
      <c r="K51" s="18" t="str">
        <f t="shared" ref="K51" si="50">IF(K$6="","",IF(AND(K$6&gt;0,K$7&lt;=133),1215,1985))</f>
        <v/>
      </c>
    </row>
    <row r="52" spans="2:11" x14ac:dyDescent="0.25">
      <c r="B52" s="26" t="s">
        <v>53</v>
      </c>
      <c r="C52" s="13" t="s">
        <v>86</v>
      </c>
      <c r="D52" s="18" t="str">
        <f>IF(D$6="","",IF(AND(D$6&gt;0,D$7&lt;=133),66,66))</f>
        <v/>
      </c>
      <c r="E52" s="18" t="str">
        <f t="shared" ref="E52:J52" si="51">IF(E$6="","",IF(AND(E$6&gt;0,E$7&lt;=133),66,66))</f>
        <v/>
      </c>
      <c r="F52" s="18" t="str">
        <f t="shared" si="51"/>
        <v/>
      </c>
      <c r="G52" s="18" t="str">
        <f t="shared" si="51"/>
        <v/>
      </c>
      <c r="H52" s="18" t="str">
        <f t="shared" si="51"/>
        <v/>
      </c>
      <c r="I52" s="18" t="str">
        <f>IF(I$6="","",IF(AND(I$6&gt;0,I$7&lt;=133),66,66))</f>
        <v/>
      </c>
      <c r="J52" s="18" t="str">
        <f t="shared" si="51"/>
        <v/>
      </c>
      <c r="K52" s="18" t="str">
        <f t="shared" ref="K52" si="52">IF(K$6="","",IF(AND(K$6&gt;0,K$7&lt;=133),33,66))</f>
        <v/>
      </c>
    </row>
    <row r="53" spans="2:11" x14ac:dyDescent="0.25">
      <c r="B53" s="26" t="s">
        <v>27</v>
      </c>
      <c r="C53" s="13" t="s">
        <v>87</v>
      </c>
      <c r="D53" s="20" t="str">
        <f>IF(D$6="","",IF(AND(D$6&gt;0,D$7&lt;=133),4.4,4.4))</f>
        <v/>
      </c>
      <c r="E53" s="20" t="str">
        <f t="shared" ref="E53:J53" si="53">IF(E$6="","",IF(AND(E$6&gt;0,E$7&lt;=133),4.4,4.4))</f>
        <v/>
      </c>
      <c r="F53" s="20" t="str">
        <f t="shared" si="53"/>
        <v/>
      </c>
      <c r="G53" s="20" t="str">
        <f t="shared" si="53"/>
        <v/>
      </c>
      <c r="H53" s="20" t="str">
        <f t="shared" si="53"/>
        <v/>
      </c>
      <c r="I53" s="20" t="str">
        <f>IF(I$6="","",IF(AND(I$6&gt;0,I$7&lt;=133),4.4,4.4))</f>
        <v/>
      </c>
      <c r="J53" s="20" t="str">
        <f t="shared" si="53"/>
        <v/>
      </c>
      <c r="K53" s="20" t="str">
        <f t="shared" ref="K53" si="54">IF(K$6="","",IF(AND(K$6&gt;0,K$7&lt;=133),3.3,4.4))</f>
        <v/>
      </c>
    </row>
    <row r="54" spans="2:11" x14ac:dyDescent="0.25">
      <c r="B54" s="26" t="s">
        <v>54</v>
      </c>
      <c r="C54" s="13" t="s">
        <v>87</v>
      </c>
      <c r="D54" s="18" t="str">
        <f>IF(D$6="","",IF(AND(D$6&gt;0,D$7&lt;=133),"660",660))</f>
        <v/>
      </c>
      <c r="E54" s="18" t="str">
        <f t="shared" ref="E54:J54" si="55">IF(E$6="","",IF(AND(E$6&gt;0,E$7&lt;=133),"660",660))</f>
        <v/>
      </c>
      <c r="F54" s="18" t="str">
        <f t="shared" si="55"/>
        <v/>
      </c>
      <c r="G54" s="18" t="str">
        <f t="shared" si="55"/>
        <v/>
      </c>
      <c r="H54" s="18" t="str">
        <f t="shared" si="55"/>
        <v/>
      </c>
      <c r="I54" s="18" t="str">
        <f>IF(I$6="","",IF(AND(I$6&gt;0,I$7&lt;=133),"660",660))</f>
        <v/>
      </c>
      <c r="J54" s="18" t="str">
        <f t="shared" si="55"/>
        <v/>
      </c>
      <c r="K54" s="18" t="str">
        <f t="shared" ref="K54" si="56">IF(K$6="","",IF(AND(K$6&gt;0,K$7&lt;=133),"",660))</f>
        <v/>
      </c>
    </row>
    <row r="55" spans="2:11" x14ac:dyDescent="0.25">
      <c r="B55" s="26" t="s">
        <v>28</v>
      </c>
      <c r="C55" s="13" t="s">
        <v>87</v>
      </c>
      <c r="D55" s="18" t="str">
        <f>IF(D$6="","",IF(AND(D$6&gt;0,D$7&lt;=133),44,44))</f>
        <v/>
      </c>
      <c r="E55" s="18" t="str">
        <f t="shared" ref="E55:J55" si="57">IF(E$6="","",IF(AND(E$6&gt;0,E$7&lt;=133),44,44))</f>
        <v/>
      </c>
      <c r="F55" s="18" t="str">
        <f t="shared" si="57"/>
        <v/>
      </c>
      <c r="G55" s="18" t="str">
        <f t="shared" si="57"/>
        <v/>
      </c>
      <c r="H55" s="18" t="str">
        <f t="shared" si="57"/>
        <v/>
      </c>
      <c r="I55" s="18" t="str">
        <f>IF(I$6="","",IF(AND(I$6&gt;0,I$7&lt;=133),44,44))</f>
        <v/>
      </c>
      <c r="J55" s="18" t="str">
        <f t="shared" si="57"/>
        <v/>
      </c>
      <c r="K55" s="18" t="str">
        <f t="shared" ref="K55" si="58">IF(K$6="","",IF(AND(K$6&gt;0,K$7&lt;=133),40,44))</f>
        <v/>
      </c>
    </row>
    <row r="56" spans="2:11" x14ac:dyDescent="0.25">
      <c r="B56" s="26" t="s">
        <v>29</v>
      </c>
      <c r="C56" s="13" t="s">
        <v>87</v>
      </c>
      <c r="D56" s="20" t="str">
        <f>IF(D$6="","",IF(AND(D$6&gt;0,D$7&lt;=133),10,10))</f>
        <v/>
      </c>
      <c r="E56" s="20" t="str">
        <f t="shared" ref="E56:J56" si="59">IF(E$6="","",IF(AND(E$6&gt;0,E$7&lt;=133),10,10))</f>
        <v/>
      </c>
      <c r="F56" s="20" t="str">
        <f t="shared" si="59"/>
        <v/>
      </c>
      <c r="G56" s="20" t="str">
        <f t="shared" si="59"/>
        <v/>
      </c>
      <c r="H56" s="20" t="str">
        <f t="shared" si="59"/>
        <v/>
      </c>
      <c r="I56" s="20" t="str">
        <f>IF(I$6="","",IF(AND(I$6&gt;0,I$7&lt;=133),10,10))</f>
        <v/>
      </c>
      <c r="J56" s="20" t="str">
        <f t="shared" si="59"/>
        <v/>
      </c>
      <c r="K56" s="18" t="str">
        <f t="shared" ref="K56" si="60">IF(K$6="","",IF(AND(K$6&gt;0,K$7&lt;=133),6,10))</f>
        <v/>
      </c>
    </row>
    <row r="57" spans="2:11" x14ac:dyDescent="0.25">
      <c r="B57" s="26" t="s">
        <v>30</v>
      </c>
      <c r="C57" s="13" t="s">
        <v>87</v>
      </c>
      <c r="D57" s="18" t="str">
        <f>IF(D$6="","",IF(AND(D$6&gt;0,D$7&lt;=133),33,33))</f>
        <v/>
      </c>
      <c r="E57" s="18" t="str">
        <f t="shared" ref="E57:J57" si="61">IF(E$6="","",IF(AND(E$6&gt;0,E$7&lt;=133),33,33))</f>
        <v/>
      </c>
      <c r="F57" s="18" t="str">
        <f t="shared" si="61"/>
        <v/>
      </c>
      <c r="G57" s="18" t="str">
        <f t="shared" si="61"/>
        <v/>
      </c>
      <c r="H57" s="18" t="str">
        <f t="shared" si="61"/>
        <v/>
      </c>
      <c r="I57" s="18" t="str">
        <f>IF(I$6="","",IF(AND(I$6&gt;0,I$7&lt;=133),33,33))</f>
        <v/>
      </c>
      <c r="J57" s="18" t="str">
        <f t="shared" si="61"/>
        <v/>
      </c>
      <c r="K57" s="18" t="str">
        <f t="shared" ref="K57" si="62">IF(K$6="","",IF(AND(K$6&gt;0,K$7&lt;=133),20,33))</f>
        <v/>
      </c>
    </row>
    <row r="58" spans="2:11" x14ac:dyDescent="0.25">
      <c r="B58" s="26" t="s">
        <v>31</v>
      </c>
      <c r="C58" s="13" t="s">
        <v>88</v>
      </c>
      <c r="D58" s="18" t="str">
        <f>IF(D$6="","",IF(AND(D$6&gt;0,D$7&lt;=133),37,37))</f>
        <v/>
      </c>
      <c r="E58" s="18" t="str">
        <f t="shared" ref="E58:J58" si="63">IF(E$6="","",IF(AND(E$6&gt;0,E$7&lt;=133),37,37))</f>
        <v/>
      </c>
      <c r="F58" s="18" t="str">
        <f t="shared" si="63"/>
        <v/>
      </c>
      <c r="G58" s="18" t="str">
        <f t="shared" si="63"/>
        <v/>
      </c>
      <c r="H58" s="18" t="str">
        <f t="shared" si="63"/>
        <v/>
      </c>
      <c r="I58" s="18" t="str">
        <f>IF(I$6="","",IF(AND(I$6&gt;0,I$7&lt;=133),37,37))</f>
        <v/>
      </c>
      <c r="J58" s="18" t="str">
        <f t="shared" si="63"/>
        <v/>
      </c>
      <c r="K58" s="18" t="str">
        <f t="shared" ref="K58" si="64">IF(K$3="","",IF(AND(K$3&gt;0,K$4&lt;=130),12,17))</f>
        <v/>
      </c>
    </row>
    <row r="59" spans="2:11" x14ac:dyDescent="0.25">
      <c r="B59" s="26" t="s">
        <v>32</v>
      </c>
      <c r="C59" s="13" t="s">
        <v>88</v>
      </c>
      <c r="D59" s="18" t="str">
        <f>IF(D$6="","",IF(AND(D$6&gt;0,D$7&lt;=133),"1325",1325))</f>
        <v/>
      </c>
      <c r="E59" s="18" t="str">
        <f t="shared" ref="E59:J59" si="65">IF(E$6="","",IF(AND(E$6&gt;0,E$7&lt;=133),"1325",1325))</f>
        <v/>
      </c>
      <c r="F59" s="18" t="str">
        <f t="shared" si="65"/>
        <v/>
      </c>
      <c r="G59" s="18" t="str">
        <f t="shared" si="65"/>
        <v/>
      </c>
      <c r="H59" s="18" t="str">
        <f t="shared" si="65"/>
        <v/>
      </c>
      <c r="I59" s="18" t="str">
        <f>IF(I$6="","",IF(AND(I$6&gt;0,I$7&lt;=133),"1325",1325))</f>
        <v/>
      </c>
      <c r="J59" s="18" t="str">
        <f t="shared" si="65"/>
        <v/>
      </c>
      <c r="K59" s="18" t="str">
        <f t="shared" ref="K59" si="66">IF(K$6="","",IF(AND(K$6&gt;0,K$7&lt;=133),"",1325))</f>
        <v/>
      </c>
    </row>
    <row r="60" spans="2:11" x14ac:dyDescent="0.25">
      <c r="B60" s="26" t="s">
        <v>33</v>
      </c>
      <c r="C60" s="13" t="s">
        <v>88</v>
      </c>
      <c r="D60" s="18" t="str">
        <f>IF(D$6="","",IF(AND(D$6&gt;0,D$7&lt;=133),"220",220))</f>
        <v/>
      </c>
      <c r="E60" s="18" t="str">
        <f t="shared" ref="E60:J60" si="67">IF(E$6="","",IF(AND(E$6&gt;0,E$7&lt;=133),"220",220))</f>
        <v/>
      </c>
      <c r="F60" s="18" t="str">
        <f t="shared" si="67"/>
        <v/>
      </c>
      <c r="G60" s="18" t="str">
        <f t="shared" si="67"/>
        <v/>
      </c>
      <c r="H60" s="18" t="str">
        <f t="shared" si="67"/>
        <v/>
      </c>
      <c r="I60" s="18" t="str">
        <f>IF(I$6="","",IF(AND(I$6&gt;0,I$7&lt;=133),"220",220))</f>
        <v/>
      </c>
      <c r="J60" s="18" t="str">
        <f t="shared" si="67"/>
        <v/>
      </c>
      <c r="K60" s="18" t="str">
        <f t="shared" ref="K60" si="68">IF(K$6="","",IF(AND(K$6&gt;0,K$7&lt;=133),"",220))</f>
        <v/>
      </c>
    </row>
    <row r="61" spans="2:11" x14ac:dyDescent="0.25">
      <c r="B61" s="26" t="s">
        <v>34</v>
      </c>
      <c r="C61" s="13" t="s">
        <v>87</v>
      </c>
      <c r="D61" s="18" t="str">
        <f>IF(D$6="","",IF(AND(D$6&gt;0,D$7&lt;=133),"2.2",2.2))</f>
        <v/>
      </c>
      <c r="E61" s="18" t="str">
        <f t="shared" ref="E61:J61" si="69">IF(E$6="","",IF(AND(E$6&gt;0,E$7&lt;=133),"2.2",2.2))</f>
        <v/>
      </c>
      <c r="F61" s="18" t="str">
        <f t="shared" si="69"/>
        <v/>
      </c>
      <c r="G61" s="18" t="str">
        <f t="shared" si="69"/>
        <v/>
      </c>
      <c r="H61" s="18" t="str">
        <f t="shared" si="69"/>
        <v/>
      </c>
      <c r="I61" s="18" t="str">
        <f>IF(I$6="","",IF(AND(I$6&gt;0,I$7&lt;=133),"2.2",2.2))</f>
        <v/>
      </c>
      <c r="J61" s="18" t="str">
        <f t="shared" si="69"/>
        <v/>
      </c>
      <c r="K61" s="18" t="str">
        <f t="shared" ref="K61" si="70">IF(K$6="","",IF(AND(K$6&gt;0,K$7&lt;=133),"",2.2))</f>
        <v/>
      </c>
    </row>
    <row r="62" spans="2:11" ht="15.75" thickBot="1" x14ac:dyDescent="0.3">
      <c r="B62" s="33" t="s">
        <v>35</v>
      </c>
      <c r="C62" s="27" t="s">
        <v>87</v>
      </c>
      <c r="D62" s="30" t="str">
        <f>IF(D$6="","",IF(AND(D$6&gt;0,D$7&lt;=133),"2.3",3.3))</f>
        <v/>
      </c>
      <c r="E62" s="30" t="str">
        <f t="shared" ref="E62:J62" si="71">IF(E$6="","",IF(AND(E$6&gt;0,E$7&lt;=133),"2.3",3.3))</f>
        <v/>
      </c>
      <c r="F62" s="30" t="str">
        <f t="shared" si="71"/>
        <v/>
      </c>
      <c r="G62" s="30" t="str">
        <f t="shared" si="71"/>
        <v/>
      </c>
      <c r="H62" s="30" t="str">
        <f t="shared" si="71"/>
        <v/>
      </c>
      <c r="I62" s="30" t="str">
        <f>IF(I$6="","",IF(AND(I$6&gt;0,I$7&lt;=133),"2.3",3.3))</f>
        <v/>
      </c>
      <c r="J62" s="30" t="str">
        <f t="shared" si="71"/>
        <v/>
      </c>
      <c r="K62" s="30" t="str">
        <f t="shared" ref="K62" si="72">IF(K$6="","",IF(AND(K$6&gt;0,K$7&lt;=133),"",3.3))</f>
        <v/>
      </c>
    </row>
    <row r="64" spans="2:11" x14ac:dyDescent="0.25">
      <c r="B64" s="55" t="str">
        <f>(IF(D16&lt;D18,"!",IF(E16&lt;E18,"!",IF(F16&lt;F18,"!",IF(G16&lt;G18,"!",IF(H16&lt;H18,"!",IF(I16&lt;I18,"!",IF(J16&lt;J18,"!"," "))))))))</f>
        <v xml:space="preserve"> </v>
      </c>
      <c r="C64" s="56" t="str">
        <f>IF(B64="!","Because the weight range is so wide, PIC biological recommendation is set as 85% of the recommendation at the beginning of the phase"," ")</f>
        <v xml:space="preserve"> </v>
      </c>
      <c r="D64" s="56"/>
      <c r="E64" s="56"/>
      <c r="F64" s="56"/>
      <c r="G64" s="56"/>
      <c r="H64" s="56"/>
      <c r="I64" s="56"/>
      <c r="J64" s="56"/>
    </row>
    <row r="65" spans="2:10" x14ac:dyDescent="0.25">
      <c r="B65" s="55"/>
      <c r="C65" s="56"/>
      <c r="D65" s="56"/>
      <c r="E65" s="56"/>
      <c r="F65" s="56"/>
      <c r="G65" s="56"/>
      <c r="H65" s="56"/>
      <c r="I65" s="56"/>
      <c r="J65" s="56"/>
    </row>
    <row r="66" spans="2:10" ht="15" customHeight="1" x14ac:dyDescent="0.25">
      <c r="B66" s="57" t="str">
        <f>(IF(D13&lt;1.9,"**",IF(E13&lt;1.9,"**",IF(F13&lt;1.9,"**",IF(G13&lt;1.9,"**",IF(H13&lt;1.9,"**",IF(I13&lt;1.9,"**",IF(J13&lt;1.9,"**"," "))))))))</f>
        <v xml:space="preserve"> </v>
      </c>
      <c r="C66" s="58" t="str">
        <f>IF(B66="**","if desired weight at breeding is not met, PIC recommends using 97% of SID Lysine requirement for commercial gilts above 90 kg"," ")</f>
        <v xml:space="preserve"> </v>
      </c>
      <c r="D66" s="58"/>
      <c r="E66" s="58"/>
      <c r="F66" s="58"/>
      <c r="G66" s="58"/>
      <c r="H66" s="58"/>
      <c r="I66" s="58"/>
      <c r="J66" s="58"/>
    </row>
    <row r="67" spans="2:10" x14ac:dyDescent="0.25">
      <c r="B67" s="57"/>
      <c r="C67" s="58"/>
      <c r="D67" s="58"/>
      <c r="E67" s="58"/>
      <c r="F67" s="58"/>
      <c r="G67" s="58"/>
      <c r="H67" s="58"/>
      <c r="I67" s="58"/>
      <c r="J67" s="58"/>
    </row>
  </sheetData>
  <sheetProtection algorithmName="SHA-512" hashValue="bs6zIxJHoORLEoNQ/Bub4jW16PzwhmhHOogsA8bHEeNO20EBJoknFwuRW3VqT2qXk7LWNiJLQk/w6W3v4cq1wQ==" saltValue="E5jcp7L9bgSfssCp9eri8g==" spinCount="100000" sheet="1" objects="1" scenarios="1"/>
  <mergeCells count="4">
    <mergeCell ref="B64:B65"/>
    <mergeCell ref="C64:J65"/>
    <mergeCell ref="B66:B67"/>
    <mergeCell ref="C66:J67"/>
  </mergeCells>
  <dataValidations count="4">
    <dataValidation type="decimal" errorStyle="warning" allowBlank="1" showInputMessage="1" showErrorMessage="1" error="This calculator is based on data between 25 and 330 lb. It is not recommended to use for body weight outside of this range." sqref="K3:K4" xr:uid="{9F4E13A2-EE3E-460C-A050-919E91A66DDB}">
      <formula1>11</formula1>
      <formula2>150</formula2>
    </dataValidation>
    <dataValidation type="custom" errorStyle="warning" allowBlank="1" showInputMessage="1" showErrorMessage="1" error="The minimum energy level is 3130 kcal/kg if BW is less than 100 kg, and 3000 kcal/kg if BW is greater than 100 kg." sqref="K5" xr:uid="{92DAD262-EBE7-42D8-B6C5-78860C88B0CD}">
      <formula1>IF(K3&gt;100,2999,3129)</formula1>
    </dataValidation>
    <dataValidation type="whole" errorStyle="warning" operator="greaterThan" allowBlank="1" showInputMessage="1" showErrorMessage="1" error="The minimum energy level is 3130 kcal/kg if BW is less than 90 kg, and 3000 kcal/kg if BW is greater than 90 kg." sqref="D5:J5" xr:uid="{6F2F7706-C087-480A-BAE2-3652CC5368DA}">
      <formula1>IF(D3&gt;=90,2999,3129)</formula1>
    </dataValidation>
    <dataValidation type="decimal" allowBlank="1" showInputMessage="1" showErrorMessage="1" error="This calculator is based on data between 23 and 150 kg. It is not recommended to use for body weight outside of this range." sqref="D3:J4" xr:uid="{80329DE0-101A-43F1-BF38-9BE149AE3A73}">
      <formula1>23</formula1>
      <formula2>150</formula2>
    </dataValidation>
  </dataValidations>
  <pageMargins left="0.7" right="0.7" top="0.75" bottom="0.75" header="0.3" footer="0.3"/>
  <pageSetup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2EF7-1A5D-4E9E-BD32-445753C613A1}">
  <dimension ref="A1:U141"/>
  <sheetViews>
    <sheetView topLeftCell="B70" zoomScale="205" zoomScaleNormal="100" workbookViewId="0">
      <selection activeCell="G31" sqref="G31"/>
    </sheetView>
  </sheetViews>
  <sheetFormatPr defaultColWidth="8.7109375" defaultRowHeight="15" x14ac:dyDescent="0.25"/>
  <cols>
    <col min="2" max="2" width="27.7109375" bestFit="1" customWidth="1"/>
    <col min="15" max="15" width="30.140625" bestFit="1" customWidth="1"/>
    <col min="16" max="16" width="11.28515625" bestFit="1" customWidth="1"/>
  </cols>
  <sheetData>
    <row r="1" spans="1:21" x14ac:dyDescent="0.25">
      <c r="A1" t="s">
        <v>68</v>
      </c>
      <c r="B1" s="8" t="s">
        <v>69</v>
      </c>
      <c r="C1" s="8" t="s">
        <v>70</v>
      </c>
      <c r="D1" s="8" t="s">
        <v>71</v>
      </c>
      <c r="E1" s="8" t="s">
        <v>72</v>
      </c>
      <c r="F1" s="8" t="s">
        <v>73</v>
      </c>
      <c r="G1" s="8" t="s">
        <v>74</v>
      </c>
      <c r="H1" s="8" t="s">
        <v>75</v>
      </c>
      <c r="I1" s="8" t="s">
        <v>76</v>
      </c>
      <c r="J1" s="8" t="s">
        <v>77</v>
      </c>
    </row>
    <row r="2" spans="1:21" x14ac:dyDescent="0.25">
      <c r="A2" s="36">
        <v>11</v>
      </c>
      <c r="B2" s="36">
        <v>58</v>
      </c>
      <c r="C2" s="36">
        <v>65</v>
      </c>
      <c r="D2" s="36">
        <v>19</v>
      </c>
      <c r="E2" s="36">
        <v>68</v>
      </c>
      <c r="F2" s="36">
        <v>55</v>
      </c>
      <c r="G2" s="36">
        <v>100</v>
      </c>
      <c r="H2" s="36">
        <v>32</v>
      </c>
      <c r="I2" s="36">
        <v>92</v>
      </c>
      <c r="J2" s="36">
        <v>0.55000000000000004</v>
      </c>
    </row>
    <row r="3" spans="1:21" x14ac:dyDescent="0.25">
      <c r="A3" s="36">
        <v>12</v>
      </c>
      <c r="B3" s="36">
        <v>58</v>
      </c>
      <c r="C3" s="36">
        <v>65</v>
      </c>
      <c r="D3" s="36">
        <v>19</v>
      </c>
      <c r="E3" s="36">
        <v>68</v>
      </c>
      <c r="F3" s="36">
        <v>55</v>
      </c>
      <c r="G3" s="36">
        <v>100</v>
      </c>
      <c r="H3" s="36">
        <v>32</v>
      </c>
      <c r="I3" s="36">
        <v>92</v>
      </c>
      <c r="J3" s="36">
        <v>0.55000000000000004</v>
      </c>
    </row>
    <row r="4" spans="1:21" x14ac:dyDescent="0.25">
      <c r="A4" s="36">
        <v>13</v>
      </c>
      <c r="B4" s="36">
        <v>58</v>
      </c>
      <c r="C4" s="36">
        <v>65</v>
      </c>
      <c r="D4" s="36">
        <v>19</v>
      </c>
      <c r="E4" s="36">
        <v>68</v>
      </c>
      <c r="F4" s="36">
        <v>55</v>
      </c>
      <c r="G4" s="36">
        <v>100</v>
      </c>
      <c r="H4" s="36">
        <v>32</v>
      </c>
      <c r="I4" s="36">
        <v>92</v>
      </c>
      <c r="J4" s="36">
        <v>0.55000000000000004</v>
      </c>
    </row>
    <row r="5" spans="1:21" x14ac:dyDescent="0.25">
      <c r="A5" s="36">
        <v>14</v>
      </c>
      <c r="B5" s="36">
        <v>58</v>
      </c>
      <c r="C5" s="36">
        <v>65</v>
      </c>
      <c r="D5" s="36">
        <v>19</v>
      </c>
      <c r="E5" s="36">
        <v>68</v>
      </c>
      <c r="F5" s="36">
        <v>55</v>
      </c>
      <c r="G5" s="36">
        <v>100</v>
      </c>
      <c r="H5" s="36">
        <v>32</v>
      </c>
      <c r="I5" s="36">
        <v>92</v>
      </c>
      <c r="J5" s="36">
        <v>0.55000000000000004</v>
      </c>
    </row>
    <row r="6" spans="1:21" x14ac:dyDescent="0.25">
      <c r="A6" s="36">
        <v>15</v>
      </c>
      <c r="B6" s="36">
        <v>58</v>
      </c>
      <c r="C6" s="36">
        <v>65</v>
      </c>
      <c r="D6" s="36">
        <v>19</v>
      </c>
      <c r="E6" s="36">
        <v>68</v>
      </c>
      <c r="F6" s="36">
        <v>55</v>
      </c>
      <c r="G6" s="36">
        <v>100</v>
      </c>
      <c r="H6" s="36">
        <v>32</v>
      </c>
      <c r="I6" s="36">
        <v>92</v>
      </c>
      <c r="J6" s="36">
        <v>0.55000000000000004</v>
      </c>
    </row>
    <row r="7" spans="1:21" x14ac:dyDescent="0.25">
      <c r="A7" s="36">
        <v>16</v>
      </c>
      <c r="B7" s="36">
        <v>58</v>
      </c>
      <c r="C7" s="36">
        <v>65</v>
      </c>
      <c r="D7" s="36">
        <v>19</v>
      </c>
      <c r="E7" s="36">
        <v>68</v>
      </c>
      <c r="F7" s="36">
        <v>55</v>
      </c>
      <c r="G7" s="36">
        <v>100</v>
      </c>
      <c r="H7" s="36">
        <v>32</v>
      </c>
      <c r="I7" s="36">
        <v>92</v>
      </c>
      <c r="J7" s="36">
        <v>0.55000000000000004</v>
      </c>
      <c r="M7">
        <v>50</v>
      </c>
      <c r="N7" s="37">
        <f>M7/2.204622</f>
        <v>22.6796248971479</v>
      </c>
      <c r="P7" s="38" t="s">
        <v>83</v>
      </c>
      <c r="Q7" t="s">
        <v>78</v>
      </c>
      <c r="R7" t="s">
        <v>79</v>
      </c>
      <c r="S7" t="s">
        <v>80</v>
      </c>
      <c r="T7" t="s">
        <v>81</v>
      </c>
      <c r="U7" t="s">
        <v>82</v>
      </c>
    </row>
    <row r="8" spans="1:21" x14ac:dyDescent="0.25">
      <c r="A8" s="36">
        <v>17</v>
      </c>
      <c r="B8" s="36">
        <v>58</v>
      </c>
      <c r="C8" s="36">
        <v>65</v>
      </c>
      <c r="D8" s="36">
        <v>19</v>
      </c>
      <c r="E8" s="36">
        <v>68</v>
      </c>
      <c r="F8" s="36">
        <v>55</v>
      </c>
      <c r="G8" s="36">
        <v>100</v>
      </c>
      <c r="H8" s="36">
        <v>32</v>
      </c>
      <c r="I8" s="36">
        <v>92</v>
      </c>
      <c r="J8" s="36">
        <v>0.55000000000000004</v>
      </c>
      <c r="M8">
        <v>90</v>
      </c>
      <c r="N8" s="37">
        <f t="shared" ref="N8:N12" si="0">M8/2.204622</f>
        <v>40.823324814866218</v>
      </c>
      <c r="O8" s="11" t="s">
        <v>36</v>
      </c>
      <c r="P8" s="43">
        <v>58</v>
      </c>
      <c r="Q8" s="43">
        <v>56</v>
      </c>
      <c r="R8" s="36">
        <v>57</v>
      </c>
      <c r="S8" s="36">
        <v>57</v>
      </c>
      <c r="T8" s="36">
        <v>58</v>
      </c>
      <c r="U8" s="36">
        <v>58</v>
      </c>
    </row>
    <row r="9" spans="1:21" x14ac:dyDescent="0.25">
      <c r="A9" s="36">
        <v>18</v>
      </c>
      <c r="B9" s="36">
        <v>58</v>
      </c>
      <c r="C9" s="36">
        <v>65</v>
      </c>
      <c r="D9" s="36">
        <v>19</v>
      </c>
      <c r="E9" s="36">
        <v>68</v>
      </c>
      <c r="F9" s="36">
        <v>55</v>
      </c>
      <c r="G9" s="36">
        <v>100</v>
      </c>
      <c r="H9" s="36">
        <v>32</v>
      </c>
      <c r="I9" s="36">
        <v>92</v>
      </c>
      <c r="J9" s="36">
        <v>0.55000000000000004</v>
      </c>
      <c r="M9">
        <v>130</v>
      </c>
      <c r="N9" s="37">
        <f t="shared" si="0"/>
        <v>58.967024732584541</v>
      </c>
      <c r="O9" s="11" t="s">
        <v>37</v>
      </c>
      <c r="P9" s="43">
        <v>63</v>
      </c>
      <c r="Q9" s="43">
        <v>61</v>
      </c>
      <c r="R9" s="36">
        <v>62</v>
      </c>
      <c r="S9" s="36">
        <v>63</v>
      </c>
      <c r="T9" s="36">
        <v>64</v>
      </c>
      <c r="U9" s="36">
        <v>66</v>
      </c>
    </row>
    <row r="10" spans="1:21" x14ac:dyDescent="0.25">
      <c r="A10" s="36">
        <v>19</v>
      </c>
      <c r="B10" s="36">
        <v>58</v>
      </c>
      <c r="C10" s="36">
        <v>65</v>
      </c>
      <c r="D10" s="36">
        <v>19</v>
      </c>
      <c r="E10" s="36">
        <v>68</v>
      </c>
      <c r="F10" s="36">
        <v>55</v>
      </c>
      <c r="G10" s="36">
        <v>100</v>
      </c>
      <c r="H10" s="36">
        <v>32</v>
      </c>
      <c r="I10" s="36">
        <v>92</v>
      </c>
      <c r="J10" s="36">
        <v>0.55000000000000004</v>
      </c>
      <c r="M10">
        <v>180</v>
      </c>
      <c r="N10" s="37">
        <f t="shared" si="0"/>
        <v>81.646649629732437</v>
      </c>
      <c r="O10" s="11" t="s">
        <v>38</v>
      </c>
      <c r="P10" s="36">
        <v>19</v>
      </c>
      <c r="Q10" s="36">
        <v>18</v>
      </c>
      <c r="R10" s="36">
        <v>18</v>
      </c>
      <c r="S10" s="36">
        <v>18</v>
      </c>
      <c r="T10" s="36">
        <v>18</v>
      </c>
      <c r="U10" s="36">
        <v>18</v>
      </c>
    </row>
    <row r="11" spans="1:21" x14ac:dyDescent="0.25">
      <c r="A11" s="36">
        <v>20</v>
      </c>
      <c r="B11" s="36">
        <v>58</v>
      </c>
      <c r="C11" s="36">
        <v>65</v>
      </c>
      <c r="D11" s="36">
        <v>19</v>
      </c>
      <c r="E11" s="36">
        <v>68</v>
      </c>
      <c r="F11" s="36">
        <v>55</v>
      </c>
      <c r="G11" s="36">
        <v>100</v>
      </c>
      <c r="H11" s="36">
        <v>32</v>
      </c>
      <c r="I11" s="36">
        <v>92</v>
      </c>
      <c r="J11" s="36">
        <v>0.55000000000000004</v>
      </c>
      <c r="M11">
        <v>230</v>
      </c>
      <c r="N11" s="37">
        <f t="shared" si="0"/>
        <v>104.32627452688034</v>
      </c>
      <c r="O11" s="11" t="s">
        <v>39</v>
      </c>
      <c r="P11" s="44">
        <v>67</v>
      </c>
      <c r="Q11" s="44">
        <v>67</v>
      </c>
      <c r="R11" s="44">
        <v>67</v>
      </c>
      <c r="S11" s="44">
        <v>67</v>
      </c>
      <c r="T11" s="44">
        <v>67</v>
      </c>
      <c r="U11" s="44">
        <v>67</v>
      </c>
    </row>
    <row r="12" spans="1:21" x14ac:dyDescent="0.25">
      <c r="A12" s="36">
        <v>21</v>
      </c>
      <c r="B12" s="36">
        <v>58</v>
      </c>
      <c r="C12" s="36">
        <v>65</v>
      </c>
      <c r="D12" s="36">
        <v>19</v>
      </c>
      <c r="E12" s="36">
        <v>68</v>
      </c>
      <c r="F12" s="36">
        <v>55</v>
      </c>
      <c r="G12" s="36">
        <v>100</v>
      </c>
      <c r="H12" s="36">
        <v>32</v>
      </c>
      <c r="I12" s="36">
        <v>92</v>
      </c>
      <c r="J12" s="36">
        <v>0.55000000000000004</v>
      </c>
      <c r="M12">
        <v>300</v>
      </c>
      <c r="N12" s="37">
        <f t="shared" si="0"/>
        <v>136.07774938288739</v>
      </c>
      <c r="O12" s="31" t="s">
        <v>40</v>
      </c>
      <c r="P12" s="36">
        <v>55</v>
      </c>
      <c r="Q12" s="36">
        <v>56</v>
      </c>
      <c r="R12" s="36">
        <v>56</v>
      </c>
      <c r="S12" s="36">
        <v>56</v>
      </c>
      <c r="T12" s="36">
        <v>56</v>
      </c>
      <c r="U12" s="36">
        <v>56</v>
      </c>
    </row>
    <row r="13" spans="1:21" x14ac:dyDescent="0.25">
      <c r="A13" s="36">
        <v>22</v>
      </c>
      <c r="B13" s="36">
        <v>58</v>
      </c>
      <c r="C13" s="36">
        <v>65</v>
      </c>
      <c r="D13" s="36">
        <v>19</v>
      </c>
      <c r="E13" s="36">
        <v>68</v>
      </c>
      <c r="F13" s="36">
        <v>55</v>
      </c>
      <c r="G13" s="36">
        <v>100</v>
      </c>
      <c r="H13" s="36">
        <v>32</v>
      </c>
      <c r="I13" s="36">
        <v>92</v>
      </c>
      <c r="J13" s="36">
        <v>0.45</v>
      </c>
      <c r="O13" s="31" t="s">
        <v>41</v>
      </c>
      <c r="P13" s="36">
        <v>100</v>
      </c>
      <c r="Q13" s="36">
        <v>101</v>
      </c>
      <c r="R13" s="36">
        <v>101</v>
      </c>
      <c r="S13" s="36">
        <v>101</v>
      </c>
      <c r="T13" s="36">
        <v>101</v>
      </c>
      <c r="U13" s="36">
        <v>102</v>
      </c>
    </row>
    <row r="14" spans="1:21" x14ac:dyDescent="0.25">
      <c r="A14" s="36">
        <v>23</v>
      </c>
      <c r="B14" s="36">
        <v>58</v>
      </c>
      <c r="C14" s="36">
        <v>65</v>
      </c>
      <c r="D14" s="36">
        <v>18</v>
      </c>
      <c r="E14" s="36">
        <v>68</v>
      </c>
      <c r="F14" s="36">
        <v>56</v>
      </c>
      <c r="G14" s="36">
        <v>101</v>
      </c>
      <c r="H14" s="36">
        <v>34</v>
      </c>
      <c r="I14" s="36">
        <v>94</v>
      </c>
      <c r="J14" s="36">
        <v>0.45</v>
      </c>
      <c r="O14" s="31" t="s">
        <v>42</v>
      </c>
      <c r="P14" s="36">
        <v>32</v>
      </c>
      <c r="Q14" s="36">
        <v>34</v>
      </c>
      <c r="R14" s="36">
        <v>34</v>
      </c>
      <c r="S14" s="36">
        <v>34</v>
      </c>
      <c r="T14" s="36">
        <v>34</v>
      </c>
      <c r="U14" s="36">
        <v>34</v>
      </c>
    </row>
    <row r="15" spans="1:21" x14ac:dyDescent="0.25">
      <c r="A15" s="36">
        <v>24</v>
      </c>
      <c r="B15" s="36">
        <v>58</v>
      </c>
      <c r="C15" s="36">
        <v>65</v>
      </c>
      <c r="D15" s="36">
        <v>18</v>
      </c>
      <c r="E15" s="36">
        <v>68</v>
      </c>
      <c r="F15" s="36">
        <v>56</v>
      </c>
      <c r="G15" s="36">
        <v>101</v>
      </c>
      <c r="H15" s="36">
        <v>34</v>
      </c>
      <c r="I15" s="36">
        <v>94</v>
      </c>
      <c r="J15" s="36">
        <v>0.45</v>
      </c>
      <c r="O15" s="31" t="s">
        <v>43</v>
      </c>
      <c r="P15" s="36">
        <v>92</v>
      </c>
      <c r="Q15" s="36">
        <v>94</v>
      </c>
      <c r="R15" s="36">
        <v>94</v>
      </c>
      <c r="S15" s="36">
        <v>94</v>
      </c>
      <c r="T15" s="36">
        <v>95</v>
      </c>
      <c r="U15" s="36">
        <v>96</v>
      </c>
    </row>
    <row r="16" spans="1:21" ht="15.75" thickBot="1" x14ac:dyDescent="0.3">
      <c r="A16" s="36">
        <v>25</v>
      </c>
      <c r="B16" s="36">
        <v>58</v>
      </c>
      <c r="C16" s="36">
        <v>65</v>
      </c>
      <c r="D16" s="36">
        <v>18</v>
      </c>
      <c r="E16" s="36">
        <v>68</v>
      </c>
      <c r="F16" s="36">
        <v>56</v>
      </c>
      <c r="G16" s="36">
        <v>101</v>
      </c>
      <c r="H16" s="36">
        <v>34</v>
      </c>
      <c r="I16" s="36">
        <v>94</v>
      </c>
      <c r="J16" s="36">
        <v>0.45</v>
      </c>
      <c r="O16" s="32" t="s">
        <v>50</v>
      </c>
      <c r="P16" s="36">
        <v>0.55000000000000004</v>
      </c>
      <c r="Q16" s="36">
        <v>0.45</v>
      </c>
      <c r="R16" s="36">
        <v>0.4</v>
      </c>
      <c r="S16" s="36">
        <v>0.35</v>
      </c>
      <c r="T16" s="36">
        <v>0.28000000000000003</v>
      </c>
      <c r="U16" s="36">
        <v>0.25</v>
      </c>
    </row>
    <row r="17" spans="1:21" x14ac:dyDescent="0.25">
      <c r="A17" s="36">
        <v>26</v>
      </c>
      <c r="B17" s="36">
        <v>58</v>
      </c>
      <c r="C17" s="36">
        <v>65</v>
      </c>
      <c r="D17" s="36">
        <v>18</v>
      </c>
      <c r="E17" s="36">
        <v>68</v>
      </c>
      <c r="F17" s="36">
        <v>56</v>
      </c>
      <c r="G17" s="36">
        <v>101</v>
      </c>
      <c r="H17" s="36">
        <v>34</v>
      </c>
      <c r="I17" s="36">
        <v>94</v>
      </c>
      <c r="J17" s="36">
        <v>0.45</v>
      </c>
    </row>
    <row r="18" spans="1:21" x14ac:dyDescent="0.25">
      <c r="A18" s="36">
        <v>27</v>
      </c>
      <c r="B18" s="36">
        <v>58</v>
      </c>
      <c r="C18" s="36">
        <v>65</v>
      </c>
      <c r="D18" s="36">
        <v>18</v>
      </c>
      <c r="E18" s="36">
        <v>68</v>
      </c>
      <c r="F18" s="36">
        <v>56</v>
      </c>
      <c r="G18" s="36">
        <v>101</v>
      </c>
      <c r="H18" s="36">
        <v>34</v>
      </c>
      <c r="I18" s="36">
        <v>94</v>
      </c>
      <c r="J18" s="36">
        <v>0.45</v>
      </c>
    </row>
    <row r="19" spans="1:21" x14ac:dyDescent="0.25">
      <c r="A19" s="36">
        <v>28</v>
      </c>
      <c r="B19" s="36">
        <v>58</v>
      </c>
      <c r="C19" s="36">
        <v>65</v>
      </c>
      <c r="D19" s="36">
        <v>18</v>
      </c>
      <c r="E19" s="36">
        <v>68</v>
      </c>
      <c r="F19" s="36">
        <v>56</v>
      </c>
      <c r="G19" s="36">
        <v>101</v>
      </c>
      <c r="H19" s="36">
        <v>34</v>
      </c>
      <c r="I19" s="36">
        <v>94</v>
      </c>
      <c r="J19" s="36">
        <v>0.45</v>
      </c>
      <c r="O19" t="s">
        <v>84</v>
      </c>
    </row>
    <row r="20" spans="1:21" x14ac:dyDescent="0.25">
      <c r="A20" s="36">
        <v>29</v>
      </c>
      <c r="B20" s="36">
        <v>58</v>
      </c>
      <c r="C20" s="36">
        <v>65</v>
      </c>
      <c r="D20" s="36">
        <v>18</v>
      </c>
      <c r="E20" s="36">
        <v>68</v>
      </c>
      <c r="F20" s="36">
        <v>56</v>
      </c>
      <c r="G20" s="36">
        <v>101</v>
      </c>
      <c r="H20" s="36">
        <v>34</v>
      </c>
      <c r="I20" s="36">
        <v>94</v>
      </c>
      <c r="J20" s="36">
        <v>0.45</v>
      </c>
    </row>
    <row r="21" spans="1:21" x14ac:dyDescent="0.25">
      <c r="A21" s="36">
        <v>30</v>
      </c>
      <c r="B21" s="36">
        <v>58</v>
      </c>
      <c r="C21" s="36">
        <v>65</v>
      </c>
      <c r="D21" s="36">
        <v>18</v>
      </c>
      <c r="E21" s="36">
        <v>68</v>
      </c>
      <c r="F21" s="36">
        <v>56</v>
      </c>
      <c r="G21" s="36">
        <v>101</v>
      </c>
      <c r="H21" s="36">
        <v>34</v>
      </c>
      <c r="I21" s="36">
        <v>94</v>
      </c>
      <c r="J21" s="36">
        <v>0.45</v>
      </c>
      <c r="Q21">
        <v>0.25</v>
      </c>
      <c r="R21">
        <v>0.15</v>
      </c>
      <c r="S21">
        <v>0.13</v>
      </c>
      <c r="T21">
        <v>0.1</v>
      </c>
      <c r="U21">
        <v>0.08</v>
      </c>
    </row>
    <row r="22" spans="1:21" x14ac:dyDescent="0.25">
      <c r="A22" s="36">
        <v>31</v>
      </c>
      <c r="B22" s="36">
        <v>58</v>
      </c>
      <c r="C22" s="36">
        <v>65</v>
      </c>
      <c r="D22" s="36">
        <v>18</v>
      </c>
      <c r="E22" s="36">
        <v>68</v>
      </c>
      <c r="F22" s="36">
        <v>56</v>
      </c>
      <c r="G22" s="36">
        <v>101</v>
      </c>
      <c r="H22" s="36">
        <v>34</v>
      </c>
      <c r="I22" s="36">
        <v>94</v>
      </c>
      <c r="J22" s="36">
        <v>0.45</v>
      </c>
      <c r="Q22">
        <v>1</v>
      </c>
      <c r="R22">
        <f>R21/Q21</f>
        <v>0.6</v>
      </c>
      <c r="S22">
        <f>S21/Q21</f>
        <v>0.52</v>
      </c>
      <c r="T22">
        <f>T21/Q21</f>
        <v>0.4</v>
      </c>
      <c r="U22">
        <f>U21/Q21</f>
        <v>0.32</v>
      </c>
    </row>
    <row r="23" spans="1:21" x14ac:dyDescent="0.25">
      <c r="A23" s="36">
        <v>32</v>
      </c>
      <c r="B23" s="36">
        <v>58</v>
      </c>
      <c r="C23" s="36">
        <v>65</v>
      </c>
      <c r="D23" s="36">
        <v>18</v>
      </c>
      <c r="E23" s="36">
        <v>68</v>
      </c>
      <c r="F23" s="36">
        <v>56</v>
      </c>
      <c r="G23" s="36">
        <v>101</v>
      </c>
      <c r="H23" s="36">
        <v>34</v>
      </c>
      <c r="I23" s="36">
        <v>94</v>
      </c>
      <c r="J23" s="36">
        <v>0.45</v>
      </c>
      <c r="Q23">
        <v>1</v>
      </c>
      <c r="R23">
        <v>0.6</v>
      </c>
      <c r="S23">
        <v>0.5</v>
      </c>
      <c r="T23">
        <v>0.4</v>
      </c>
      <c r="U23">
        <v>0.3</v>
      </c>
    </row>
    <row r="24" spans="1:21" x14ac:dyDescent="0.25">
      <c r="A24" s="36">
        <v>33</v>
      </c>
      <c r="B24" s="36">
        <v>58</v>
      </c>
      <c r="C24" s="36">
        <v>65</v>
      </c>
      <c r="D24" s="36">
        <v>18</v>
      </c>
      <c r="E24" s="36">
        <v>68</v>
      </c>
      <c r="F24" s="36">
        <v>56</v>
      </c>
      <c r="G24" s="36">
        <v>101</v>
      </c>
      <c r="H24" s="36">
        <v>34</v>
      </c>
      <c r="I24" s="36">
        <v>94</v>
      </c>
      <c r="J24" s="36">
        <v>0.45</v>
      </c>
    </row>
    <row r="25" spans="1:21" x14ac:dyDescent="0.25">
      <c r="A25" s="36">
        <v>34</v>
      </c>
      <c r="B25" s="36">
        <v>58</v>
      </c>
      <c r="C25" s="36">
        <v>65</v>
      </c>
      <c r="D25" s="36">
        <v>18</v>
      </c>
      <c r="E25" s="36">
        <v>68</v>
      </c>
      <c r="F25" s="36">
        <v>56</v>
      </c>
      <c r="G25" s="36">
        <v>101</v>
      </c>
      <c r="H25" s="36">
        <v>34</v>
      </c>
      <c r="I25" s="36">
        <v>94</v>
      </c>
      <c r="J25" s="36">
        <v>0.45</v>
      </c>
    </row>
    <row r="26" spans="1:21" x14ac:dyDescent="0.25">
      <c r="A26" s="36">
        <v>35</v>
      </c>
      <c r="B26" s="36">
        <v>58</v>
      </c>
      <c r="C26" s="36">
        <v>65</v>
      </c>
      <c r="D26" s="36">
        <v>18</v>
      </c>
      <c r="E26" s="36">
        <v>68</v>
      </c>
      <c r="F26" s="36">
        <v>56</v>
      </c>
      <c r="G26" s="36">
        <v>101</v>
      </c>
      <c r="H26" s="36">
        <v>34</v>
      </c>
      <c r="I26" s="36">
        <v>94</v>
      </c>
      <c r="J26" s="36">
        <v>0.45</v>
      </c>
    </row>
    <row r="27" spans="1:21" x14ac:dyDescent="0.25">
      <c r="A27" s="36">
        <v>36</v>
      </c>
      <c r="B27" s="36">
        <v>58</v>
      </c>
      <c r="C27" s="36">
        <v>65</v>
      </c>
      <c r="D27" s="36">
        <v>18</v>
      </c>
      <c r="E27" s="36">
        <v>68</v>
      </c>
      <c r="F27" s="36">
        <v>56</v>
      </c>
      <c r="G27" s="36">
        <v>101</v>
      </c>
      <c r="H27" s="36">
        <v>34</v>
      </c>
      <c r="I27" s="36">
        <v>94</v>
      </c>
      <c r="J27" s="36">
        <v>0.45</v>
      </c>
    </row>
    <row r="28" spans="1:21" x14ac:dyDescent="0.25">
      <c r="A28" s="36">
        <v>37</v>
      </c>
      <c r="B28" s="36">
        <v>58</v>
      </c>
      <c r="C28" s="36">
        <v>65</v>
      </c>
      <c r="D28" s="36">
        <v>18</v>
      </c>
      <c r="E28" s="36">
        <v>68</v>
      </c>
      <c r="F28" s="36">
        <v>56</v>
      </c>
      <c r="G28" s="36">
        <v>101</v>
      </c>
      <c r="H28" s="36">
        <v>34</v>
      </c>
      <c r="I28" s="36">
        <v>94</v>
      </c>
      <c r="J28" s="36">
        <v>0.45</v>
      </c>
    </row>
    <row r="29" spans="1:21" x14ac:dyDescent="0.25">
      <c r="A29" s="36">
        <v>38</v>
      </c>
      <c r="B29" s="36">
        <v>58</v>
      </c>
      <c r="C29" s="36">
        <v>65</v>
      </c>
      <c r="D29" s="36">
        <v>18</v>
      </c>
      <c r="E29" s="36">
        <v>68</v>
      </c>
      <c r="F29" s="36">
        <v>56</v>
      </c>
      <c r="G29" s="36">
        <v>101</v>
      </c>
      <c r="H29" s="36">
        <v>34</v>
      </c>
      <c r="I29" s="36">
        <v>94</v>
      </c>
      <c r="J29" s="36">
        <v>0.45</v>
      </c>
    </row>
    <row r="30" spans="1:21" x14ac:dyDescent="0.25">
      <c r="A30" s="36">
        <v>39</v>
      </c>
      <c r="B30" s="36">
        <v>58</v>
      </c>
      <c r="C30" s="36">
        <v>65</v>
      </c>
      <c r="D30" s="36">
        <v>18</v>
      </c>
      <c r="E30" s="36">
        <v>68</v>
      </c>
      <c r="F30" s="36">
        <v>56</v>
      </c>
      <c r="G30" s="36">
        <v>101</v>
      </c>
      <c r="H30" s="36">
        <v>34</v>
      </c>
      <c r="I30" s="36">
        <v>94</v>
      </c>
      <c r="J30" s="36">
        <v>0.45</v>
      </c>
    </row>
    <row r="31" spans="1:21" x14ac:dyDescent="0.25">
      <c r="A31" s="36">
        <v>40</v>
      </c>
      <c r="B31" s="36">
        <v>58</v>
      </c>
      <c r="C31" s="36">
        <v>65</v>
      </c>
      <c r="D31" s="36">
        <v>18</v>
      </c>
      <c r="E31" s="36">
        <v>68</v>
      </c>
      <c r="F31" s="36">
        <v>56</v>
      </c>
      <c r="G31" s="36">
        <v>101</v>
      </c>
      <c r="H31" s="36">
        <v>34</v>
      </c>
      <c r="I31" s="36">
        <v>94</v>
      </c>
      <c r="J31" s="36">
        <v>0.45</v>
      </c>
    </row>
    <row r="32" spans="1:21" x14ac:dyDescent="0.25">
      <c r="A32" s="36">
        <v>41</v>
      </c>
      <c r="B32" s="36">
        <v>58</v>
      </c>
      <c r="C32" s="36">
        <v>65</v>
      </c>
      <c r="D32" s="36">
        <v>18</v>
      </c>
      <c r="E32" s="36">
        <v>68</v>
      </c>
      <c r="F32" s="36">
        <v>56</v>
      </c>
      <c r="G32" s="36">
        <v>101</v>
      </c>
      <c r="H32" s="36">
        <v>34</v>
      </c>
      <c r="I32" s="36">
        <v>94</v>
      </c>
      <c r="J32" s="36">
        <v>0.45</v>
      </c>
    </row>
    <row r="33" spans="1:10" x14ac:dyDescent="0.25">
      <c r="A33" s="36">
        <v>42</v>
      </c>
      <c r="B33" s="36">
        <v>58</v>
      </c>
      <c r="C33" s="36">
        <v>65</v>
      </c>
      <c r="D33" s="36">
        <v>18</v>
      </c>
      <c r="E33" s="36">
        <v>68</v>
      </c>
      <c r="F33" s="36">
        <v>56</v>
      </c>
      <c r="G33" s="36">
        <v>101</v>
      </c>
      <c r="H33" s="36">
        <v>34</v>
      </c>
      <c r="I33" s="36">
        <v>94</v>
      </c>
      <c r="J33" s="36">
        <v>0.4</v>
      </c>
    </row>
    <row r="34" spans="1:10" x14ac:dyDescent="0.25">
      <c r="A34" s="36">
        <v>43</v>
      </c>
      <c r="B34" s="36">
        <v>58</v>
      </c>
      <c r="C34" s="36">
        <v>65</v>
      </c>
      <c r="D34" s="36">
        <v>18</v>
      </c>
      <c r="E34" s="36">
        <v>68</v>
      </c>
      <c r="F34" s="36">
        <v>56</v>
      </c>
      <c r="G34" s="36">
        <v>101</v>
      </c>
      <c r="H34" s="36">
        <v>34</v>
      </c>
      <c r="I34" s="36">
        <v>94</v>
      </c>
      <c r="J34" s="36">
        <v>0.4</v>
      </c>
    </row>
    <row r="35" spans="1:10" x14ac:dyDescent="0.25">
      <c r="A35" s="36">
        <v>44</v>
      </c>
      <c r="B35" s="36">
        <v>58</v>
      </c>
      <c r="C35" s="36">
        <v>65</v>
      </c>
      <c r="D35" s="36">
        <v>18</v>
      </c>
      <c r="E35" s="36">
        <v>68</v>
      </c>
      <c r="F35" s="36">
        <v>56</v>
      </c>
      <c r="G35" s="36">
        <v>101</v>
      </c>
      <c r="H35" s="36">
        <v>34</v>
      </c>
      <c r="I35" s="36">
        <v>94</v>
      </c>
      <c r="J35" s="36">
        <v>0.4</v>
      </c>
    </row>
    <row r="36" spans="1:10" x14ac:dyDescent="0.25">
      <c r="A36" s="36">
        <v>45</v>
      </c>
      <c r="B36" s="36">
        <v>58</v>
      </c>
      <c r="C36" s="36">
        <v>65</v>
      </c>
      <c r="D36" s="36">
        <v>18</v>
      </c>
      <c r="E36" s="36">
        <v>68</v>
      </c>
      <c r="F36" s="36">
        <v>56</v>
      </c>
      <c r="G36" s="36">
        <v>101</v>
      </c>
      <c r="H36" s="36">
        <v>34</v>
      </c>
      <c r="I36" s="36">
        <v>94</v>
      </c>
      <c r="J36" s="36">
        <v>0.4</v>
      </c>
    </row>
    <row r="37" spans="1:10" x14ac:dyDescent="0.25">
      <c r="A37" s="36">
        <v>46</v>
      </c>
      <c r="B37" s="36">
        <v>58</v>
      </c>
      <c r="C37" s="36">
        <v>65</v>
      </c>
      <c r="D37" s="36">
        <v>18</v>
      </c>
      <c r="E37" s="36">
        <v>68</v>
      </c>
      <c r="F37" s="36">
        <v>56</v>
      </c>
      <c r="G37" s="36">
        <v>101</v>
      </c>
      <c r="H37" s="36">
        <v>34</v>
      </c>
      <c r="I37" s="36">
        <v>94</v>
      </c>
      <c r="J37" s="36">
        <v>0.4</v>
      </c>
    </row>
    <row r="38" spans="1:10" x14ac:dyDescent="0.25">
      <c r="A38" s="36">
        <v>47</v>
      </c>
      <c r="B38" s="36">
        <v>58</v>
      </c>
      <c r="C38" s="36">
        <v>65</v>
      </c>
      <c r="D38" s="36">
        <v>18</v>
      </c>
      <c r="E38" s="36">
        <v>68</v>
      </c>
      <c r="F38" s="36">
        <v>56</v>
      </c>
      <c r="G38" s="36">
        <v>101</v>
      </c>
      <c r="H38" s="36">
        <v>34</v>
      </c>
      <c r="I38" s="36">
        <v>94</v>
      </c>
      <c r="J38" s="36">
        <v>0.4</v>
      </c>
    </row>
    <row r="39" spans="1:10" x14ac:dyDescent="0.25">
      <c r="A39" s="36">
        <v>48</v>
      </c>
      <c r="B39" s="36">
        <v>58</v>
      </c>
      <c r="C39" s="36">
        <v>65</v>
      </c>
      <c r="D39" s="36">
        <v>18</v>
      </c>
      <c r="E39" s="36">
        <v>68</v>
      </c>
      <c r="F39" s="36">
        <v>56</v>
      </c>
      <c r="G39" s="36">
        <v>101</v>
      </c>
      <c r="H39" s="36">
        <v>34</v>
      </c>
      <c r="I39" s="36">
        <v>94</v>
      </c>
      <c r="J39" s="36">
        <v>0.4</v>
      </c>
    </row>
    <row r="40" spans="1:10" x14ac:dyDescent="0.25">
      <c r="A40" s="36">
        <v>49</v>
      </c>
      <c r="B40" s="36">
        <v>58</v>
      </c>
      <c r="C40" s="36">
        <v>65</v>
      </c>
      <c r="D40" s="36">
        <v>18</v>
      </c>
      <c r="E40" s="36">
        <v>68</v>
      </c>
      <c r="F40" s="36">
        <v>56</v>
      </c>
      <c r="G40" s="36">
        <v>101</v>
      </c>
      <c r="H40" s="36">
        <v>34</v>
      </c>
      <c r="I40" s="36">
        <v>94</v>
      </c>
      <c r="J40" s="36">
        <v>0.4</v>
      </c>
    </row>
    <row r="41" spans="1:10" x14ac:dyDescent="0.25">
      <c r="A41" s="36">
        <v>50</v>
      </c>
      <c r="B41" s="36">
        <v>58</v>
      </c>
      <c r="C41" s="36">
        <v>65</v>
      </c>
      <c r="D41" s="36">
        <v>18</v>
      </c>
      <c r="E41" s="36">
        <v>68</v>
      </c>
      <c r="F41" s="36">
        <v>56</v>
      </c>
      <c r="G41" s="36">
        <v>101</v>
      </c>
      <c r="H41" s="36">
        <v>34</v>
      </c>
      <c r="I41" s="36">
        <v>94</v>
      </c>
      <c r="J41" s="36">
        <v>0.4</v>
      </c>
    </row>
    <row r="42" spans="1:10" x14ac:dyDescent="0.25">
      <c r="A42" s="36">
        <v>51</v>
      </c>
      <c r="B42" s="36">
        <v>58</v>
      </c>
      <c r="C42" s="36">
        <v>65</v>
      </c>
      <c r="D42" s="36">
        <v>18</v>
      </c>
      <c r="E42" s="36">
        <v>68</v>
      </c>
      <c r="F42" s="36">
        <v>56</v>
      </c>
      <c r="G42" s="36">
        <v>101</v>
      </c>
      <c r="H42" s="36">
        <v>34</v>
      </c>
      <c r="I42" s="36">
        <v>94</v>
      </c>
      <c r="J42" s="36">
        <v>0.4</v>
      </c>
    </row>
    <row r="43" spans="1:10" x14ac:dyDescent="0.25">
      <c r="A43" s="36">
        <v>52</v>
      </c>
      <c r="B43" s="36">
        <v>58</v>
      </c>
      <c r="C43" s="36">
        <v>65</v>
      </c>
      <c r="D43" s="36">
        <v>18</v>
      </c>
      <c r="E43" s="36">
        <v>68</v>
      </c>
      <c r="F43" s="36">
        <v>56</v>
      </c>
      <c r="G43" s="36">
        <v>101</v>
      </c>
      <c r="H43" s="36">
        <v>34</v>
      </c>
      <c r="I43" s="36">
        <v>94</v>
      </c>
      <c r="J43" s="36">
        <v>0.4</v>
      </c>
    </row>
    <row r="44" spans="1:10" x14ac:dyDescent="0.25">
      <c r="A44" s="36">
        <v>53</v>
      </c>
      <c r="B44" s="36">
        <v>58</v>
      </c>
      <c r="C44" s="36">
        <v>65</v>
      </c>
      <c r="D44" s="36">
        <v>18</v>
      </c>
      <c r="E44" s="36">
        <v>68</v>
      </c>
      <c r="F44" s="36">
        <v>56</v>
      </c>
      <c r="G44" s="36">
        <v>101</v>
      </c>
      <c r="H44" s="36">
        <v>34</v>
      </c>
      <c r="I44" s="36">
        <v>94</v>
      </c>
      <c r="J44" s="36">
        <v>0.4</v>
      </c>
    </row>
    <row r="45" spans="1:10" x14ac:dyDescent="0.25">
      <c r="A45" s="36">
        <v>54</v>
      </c>
      <c r="B45" s="36">
        <v>58</v>
      </c>
      <c r="C45" s="36">
        <v>65</v>
      </c>
      <c r="D45" s="36">
        <v>18</v>
      </c>
      <c r="E45" s="36">
        <v>68</v>
      </c>
      <c r="F45" s="36">
        <v>56</v>
      </c>
      <c r="G45" s="36">
        <v>101</v>
      </c>
      <c r="H45" s="36">
        <v>34</v>
      </c>
      <c r="I45" s="36">
        <v>94</v>
      </c>
      <c r="J45" s="36">
        <v>0.4</v>
      </c>
    </row>
    <row r="46" spans="1:10" x14ac:dyDescent="0.25">
      <c r="A46" s="36">
        <v>55</v>
      </c>
      <c r="B46" s="36">
        <v>58</v>
      </c>
      <c r="C46" s="36">
        <v>65</v>
      </c>
      <c r="D46" s="36">
        <v>18</v>
      </c>
      <c r="E46" s="36">
        <v>68</v>
      </c>
      <c r="F46" s="36">
        <v>56</v>
      </c>
      <c r="G46" s="36">
        <v>101</v>
      </c>
      <c r="H46" s="36">
        <v>34</v>
      </c>
      <c r="I46" s="36">
        <v>94</v>
      </c>
      <c r="J46" s="36">
        <v>0.4</v>
      </c>
    </row>
    <row r="47" spans="1:10" x14ac:dyDescent="0.25">
      <c r="A47" s="36">
        <v>56</v>
      </c>
      <c r="B47" s="36">
        <v>58</v>
      </c>
      <c r="C47" s="36">
        <v>65</v>
      </c>
      <c r="D47" s="36">
        <v>18</v>
      </c>
      <c r="E47" s="36">
        <v>68</v>
      </c>
      <c r="F47" s="36">
        <v>56</v>
      </c>
      <c r="G47" s="36">
        <v>101</v>
      </c>
      <c r="H47" s="36">
        <v>34</v>
      </c>
      <c r="I47" s="36">
        <v>94</v>
      </c>
      <c r="J47" s="36">
        <v>0.4</v>
      </c>
    </row>
    <row r="48" spans="1:10" x14ac:dyDescent="0.25">
      <c r="A48" s="36">
        <v>57</v>
      </c>
      <c r="B48" s="36">
        <v>58</v>
      </c>
      <c r="C48" s="36">
        <v>65</v>
      </c>
      <c r="D48" s="36">
        <v>18</v>
      </c>
      <c r="E48" s="36">
        <v>68</v>
      </c>
      <c r="F48" s="36">
        <v>56</v>
      </c>
      <c r="G48" s="36">
        <v>101</v>
      </c>
      <c r="H48" s="36">
        <v>34</v>
      </c>
      <c r="I48" s="36">
        <v>94</v>
      </c>
      <c r="J48" s="36">
        <v>0.4</v>
      </c>
    </row>
    <row r="49" spans="1:10" x14ac:dyDescent="0.25">
      <c r="A49" s="36">
        <v>58</v>
      </c>
      <c r="B49" s="36">
        <v>58</v>
      </c>
      <c r="C49" s="36">
        <v>65</v>
      </c>
      <c r="D49" s="36">
        <v>18</v>
      </c>
      <c r="E49" s="36">
        <v>68</v>
      </c>
      <c r="F49" s="36">
        <v>56</v>
      </c>
      <c r="G49" s="36">
        <v>101</v>
      </c>
      <c r="H49" s="36">
        <v>34</v>
      </c>
      <c r="I49" s="36">
        <v>94</v>
      </c>
      <c r="J49" s="36">
        <v>0.4</v>
      </c>
    </row>
    <row r="50" spans="1:10" x14ac:dyDescent="0.25">
      <c r="A50" s="36">
        <v>59</v>
      </c>
      <c r="B50" s="36">
        <v>58</v>
      </c>
      <c r="C50" s="36">
        <v>65</v>
      </c>
      <c r="D50" s="36">
        <v>18</v>
      </c>
      <c r="E50" s="36">
        <v>68</v>
      </c>
      <c r="F50" s="36">
        <v>56</v>
      </c>
      <c r="G50" s="36">
        <v>101</v>
      </c>
      <c r="H50" s="36">
        <v>34</v>
      </c>
      <c r="I50" s="36">
        <v>94</v>
      </c>
      <c r="J50" s="36">
        <v>0.4</v>
      </c>
    </row>
    <row r="51" spans="1:10" x14ac:dyDescent="0.25">
      <c r="A51" s="36">
        <v>60</v>
      </c>
      <c r="B51" s="36">
        <v>58</v>
      </c>
      <c r="C51" s="36">
        <v>65</v>
      </c>
      <c r="D51" s="36">
        <v>18</v>
      </c>
      <c r="E51" s="36">
        <v>68</v>
      </c>
      <c r="F51" s="36">
        <v>56</v>
      </c>
      <c r="G51" s="36">
        <v>101</v>
      </c>
      <c r="H51" s="36">
        <v>34</v>
      </c>
      <c r="I51" s="36">
        <v>94</v>
      </c>
      <c r="J51" s="36">
        <v>0.35</v>
      </c>
    </row>
    <row r="52" spans="1:10" x14ac:dyDescent="0.25">
      <c r="A52" s="36">
        <v>61</v>
      </c>
      <c r="B52" s="36">
        <v>58</v>
      </c>
      <c r="C52" s="36">
        <v>65</v>
      </c>
      <c r="D52" s="36">
        <v>18</v>
      </c>
      <c r="E52" s="36">
        <v>68</v>
      </c>
      <c r="F52" s="36">
        <v>56</v>
      </c>
      <c r="G52" s="36">
        <v>101</v>
      </c>
      <c r="H52" s="36">
        <v>34</v>
      </c>
      <c r="I52" s="36">
        <v>94</v>
      </c>
      <c r="J52" s="36">
        <v>0.35</v>
      </c>
    </row>
    <row r="53" spans="1:10" x14ac:dyDescent="0.25">
      <c r="A53" s="36">
        <v>62</v>
      </c>
      <c r="B53" s="36">
        <v>58</v>
      </c>
      <c r="C53" s="36">
        <v>65</v>
      </c>
      <c r="D53" s="36">
        <v>18</v>
      </c>
      <c r="E53" s="36">
        <v>68</v>
      </c>
      <c r="F53" s="36">
        <v>56</v>
      </c>
      <c r="G53" s="36">
        <v>101</v>
      </c>
      <c r="H53" s="36">
        <v>34</v>
      </c>
      <c r="I53" s="36">
        <v>94</v>
      </c>
      <c r="J53" s="36">
        <v>0.35</v>
      </c>
    </row>
    <row r="54" spans="1:10" x14ac:dyDescent="0.25">
      <c r="A54" s="36">
        <v>63</v>
      </c>
      <c r="B54" s="36">
        <v>58</v>
      </c>
      <c r="C54" s="36">
        <v>65</v>
      </c>
      <c r="D54" s="36">
        <v>18</v>
      </c>
      <c r="E54" s="36">
        <v>68</v>
      </c>
      <c r="F54" s="36">
        <v>56</v>
      </c>
      <c r="G54" s="36">
        <v>101</v>
      </c>
      <c r="H54" s="36">
        <v>34</v>
      </c>
      <c r="I54" s="36">
        <v>94</v>
      </c>
      <c r="J54" s="36">
        <v>0.35</v>
      </c>
    </row>
    <row r="55" spans="1:10" x14ac:dyDescent="0.25">
      <c r="A55" s="36">
        <v>64</v>
      </c>
      <c r="B55" s="36">
        <v>58</v>
      </c>
      <c r="C55" s="36">
        <v>65</v>
      </c>
      <c r="D55" s="36">
        <v>18</v>
      </c>
      <c r="E55" s="36">
        <v>68</v>
      </c>
      <c r="F55" s="36">
        <v>56</v>
      </c>
      <c r="G55" s="36">
        <v>101</v>
      </c>
      <c r="H55" s="36">
        <v>34</v>
      </c>
      <c r="I55" s="36">
        <v>94</v>
      </c>
      <c r="J55" s="36">
        <v>0.35</v>
      </c>
    </row>
    <row r="56" spans="1:10" x14ac:dyDescent="0.25">
      <c r="A56" s="36">
        <v>65</v>
      </c>
      <c r="B56" s="36">
        <v>58</v>
      </c>
      <c r="C56" s="36">
        <v>65</v>
      </c>
      <c r="D56" s="36">
        <v>18</v>
      </c>
      <c r="E56" s="36">
        <v>68</v>
      </c>
      <c r="F56" s="36">
        <v>56</v>
      </c>
      <c r="G56" s="36">
        <v>101</v>
      </c>
      <c r="H56" s="36">
        <v>34</v>
      </c>
      <c r="I56" s="36">
        <v>94</v>
      </c>
      <c r="J56" s="36">
        <v>0.35</v>
      </c>
    </row>
    <row r="57" spans="1:10" x14ac:dyDescent="0.25">
      <c r="A57" s="36">
        <v>66</v>
      </c>
      <c r="B57" s="36">
        <v>58</v>
      </c>
      <c r="C57" s="36">
        <v>65</v>
      </c>
      <c r="D57" s="36">
        <v>18</v>
      </c>
      <c r="E57" s="36">
        <v>68</v>
      </c>
      <c r="F57" s="36">
        <v>56</v>
      </c>
      <c r="G57" s="36">
        <v>101</v>
      </c>
      <c r="H57" s="36">
        <v>34</v>
      </c>
      <c r="I57" s="36">
        <v>94</v>
      </c>
      <c r="J57" s="36">
        <v>0.35</v>
      </c>
    </row>
    <row r="58" spans="1:10" x14ac:dyDescent="0.25">
      <c r="A58" s="36">
        <v>67</v>
      </c>
      <c r="B58" s="36">
        <v>58</v>
      </c>
      <c r="C58" s="36">
        <v>65</v>
      </c>
      <c r="D58" s="36">
        <v>18</v>
      </c>
      <c r="E58" s="36">
        <v>68</v>
      </c>
      <c r="F58" s="36">
        <v>56</v>
      </c>
      <c r="G58" s="36">
        <v>101</v>
      </c>
      <c r="H58" s="36">
        <v>34</v>
      </c>
      <c r="I58" s="36">
        <v>94</v>
      </c>
      <c r="J58" s="36">
        <v>0.35</v>
      </c>
    </row>
    <row r="59" spans="1:10" x14ac:dyDescent="0.25">
      <c r="A59" s="36">
        <v>68</v>
      </c>
      <c r="B59" s="36">
        <v>58</v>
      </c>
      <c r="C59" s="36">
        <v>65</v>
      </c>
      <c r="D59" s="36">
        <v>18</v>
      </c>
      <c r="E59" s="36">
        <v>68</v>
      </c>
      <c r="F59" s="36">
        <v>56</v>
      </c>
      <c r="G59" s="36">
        <v>101</v>
      </c>
      <c r="H59" s="36">
        <v>34</v>
      </c>
      <c r="I59" s="36">
        <v>94</v>
      </c>
      <c r="J59" s="36">
        <v>0.35</v>
      </c>
    </row>
    <row r="60" spans="1:10" x14ac:dyDescent="0.25">
      <c r="A60" s="36">
        <v>69</v>
      </c>
      <c r="B60" s="36">
        <v>58</v>
      </c>
      <c r="C60" s="36">
        <v>65</v>
      </c>
      <c r="D60" s="36">
        <v>18</v>
      </c>
      <c r="E60" s="36">
        <v>68</v>
      </c>
      <c r="F60" s="36">
        <v>56</v>
      </c>
      <c r="G60" s="36">
        <v>101</v>
      </c>
      <c r="H60" s="36">
        <v>34</v>
      </c>
      <c r="I60" s="36">
        <v>94</v>
      </c>
      <c r="J60" s="36">
        <v>0.35</v>
      </c>
    </row>
    <row r="61" spans="1:10" x14ac:dyDescent="0.25">
      <c r="A61" s="36">
        <v>70</v>
      </c>
      <c r="B61" s="36">
        <v>58</v>
      </c>
      <c r="C61" s="36">
        <v>65</v>
      </c>
      <c r="D61" s="36">
        <v>18</v>
      </c>
      <c r="E61" s="36">
        <v>68</v>
      </c>
      <c r="F61" s="36">
        <v>56</v>
      </c>
      <c r="G61" s="36">
        <v>101</v>
      </c>
      <c r="H61" s="36">
        <v>34</v>
      </c>
      <c r="I61" s="36">
        <v>94</v>
      </c>
      <c r="J61" s="36">
        <v>0.35</v>
      </c>
    </row>
    <row r="62" spans="1:10" x14ac:dyDescent="0.25">
      <c r="A62" s="36">
        <v>71</v>
      </c>
      <c r="B62" s="36">
        <v>58</v>
      </c>
      <c r="C62" s="36">
        <v>65</v>
      </c>
      <c r="D62" s="36">
        <v>18</v>
      </c>
      <c r="E62" s="36">
        <v>68</v>
      </c>
      <c r="F62" s="36">
        <v>56</v>
      </c>
      <c r="G62" s="36">
        <v>101</v>
      </c>
      <c r="H62" s="36">
        <v>34</v>
      </c>
      <c r="I62" s="36">
        <v>94</v>
      </c>
      <c r="J62" s="36">
        <v>0.35</v>
      </c>
    </row>
    <row r="63" spans="1:10" x14ac:dyDescent="0.25">
      <c r="A63" s="36">
        <v>72</v>
      </c>
      <c r="B63" s="36">
        <v>58</v>
      </c>
      <c r="C63" s="36">
        <v>65</v>
      </c>
      <c r="D63" s="36">
        <v>18</v>
      </c>
      <c r="E63" s="36">
        <v>68</v>
      </c>
      <c r="F63" s="36">
        <v>56</v>
      </c>
      <c r="G63" s="36">
        <v>101</v>
      </c>
      <c r="H63" s="36">
        <v>34</v>
      </c>
      <c r="I63" s="36">
        <v>94</v>
      </c>
      <c r="J63" s="36">
        <v>0.35</v>
      </c>
    </row>
    <row r="64" spans="1:10" x14ac:dyDescent="0.25">
      <c r="A64" s="36">
        <v>73</v>
      </c>
      <c r="B64" s="36">
        <v>58</v>
      </c>
      <c r="C64" s="36">
        <v>65</v>
      </c>
      <c r="D64" s="36">
        <v>18</v>
      </c>
      <c r="E64" s="36">
        <v>68</v>
      </c>
      <c r="F64" s="36">
        <v>56</v>
      </c>
      <c r="G64" s="36">
        <v>101</v>
      </c>
      <c r="H64" s="36">
        <v>34</v>
      </c>
      <c r="I64" s="36">
        <v>94</v>
      </c>
      <c r="J64" s="36">
        <v>0.35</v>
      </c>
    </row>
    <row r="65" spans="1:10" x14ac:dyDescent="0.25">
      <c r="A65" s="36">
        <v>74</v>
      </c>
      <c r="B65" s="36">
        <v>58</v>
      </c>
      <c r="C65" s="36">
        <v>65</v>
      </c>
      <c r="D65" s="36">
        <v>18</v>
      </c>
      <c r="E65" s="36">
        <v>68</v>
      </c>
      <c r="F65" s="36">
        <v>56</v>
      </c>
      <c r="G65" s="36">
        <v>101</v>
      </c>
      <c r="H65" s="36">
        <v>34</v>
      </c>
      <c r="I65" s="36">
        <v>94</v>
      </c>
      <c r="J65" s="36">
        <v>0.35</v>
      </c>
    </row>
    <row r="66" spans="1:10" x14ac:dyDescent="0.25">
      <c r="A66" s="36">
        <v>75</v>
      </c>
      <c r="B66" s="36">
        <v>58</v>
      </c>
      <c r="C66" s="36">
        <v>65</v>
      </c>
      <c r="D66" s="36">
        <v>18</v>
      </c>
      <c r="E66" s="36">
        <v>68</v>
      </c>
      <c r="F66" s="36">
        <v>56</v>
      </c>
      <c r="G66" s="36">
        <v>101</v>
      </c>
      <c r="H66" s="36">
        <v>34</v>
      </c>
      <c r="I66" s="36">
        <v>94</v>
      </c>
      <c r="J66" s="36">
        <v>0.35</v>
      </c>
    </row>
    <row r="67" spans="1:10" x14ac:dyDescent="0.25">
      <c r="A67" s="36">
        <v>76</v>
      </c>
      <c r="B67" s="36">
        <v>58</v>
      </c>
      <c r="C67" s="36">
        <v>65</v>
      </c>
      <c r="D67" s="36">
        <v>18</v>
      </c>
      <c r="E67" s="36">
        <v>68</v>
      </c>
      <c r="F67" s="36">
        <v>56</v>
      </c>
      <c r="G67" s="36">
        <v>101</v>
      </c>
      <c r="H67" s="36">
        <v>34</v>
      </c>
      <c r="I67" s="36">
        <v>94</v>
      </c>
      <c r="J67" s="36">
        <v>0.35</v>
      </c>
    </row>
    <row r="68" spans="1:10" x14ac:dyDescent="0.25">
      <c r="A68" s="36">
        <v>77</v>
      </c>
      <c r="B68" s="36">
        <v>58</v>
      </c>
      <c r="C68" s="36">
        <v>65</v>
      </c>
      <c r="D68" s="36">
        <v>18</v>
      </c>
      <c r="E68" s="36">
        <v>68</v>
      </c>
      <c r="F68" s="36">
        <v>56</v>
      </c>
      <c r="G68" s="36">
        <v>101</v>
      </c>
      <c r="H68" s="36">
        <v>34</v>
      </c>
      <c r="I68" s="36">
        <v>94</v>
      </c>
      <c r="J68" s="36">
        <v>0.35</v>
      </c>
    </row>
    <row r="69" spans="1:10" x14ac:dyDescent="0.25">
      <c r="A69" s="36">
        <v>78</v>
      </c>
      <c r="B69" s="36">
        <v>58</v>
      </c>
      <c r="C69" s="36">
        <v>65</v>
      </c>
      <c r="D69" s="36">
        <v>18</v>
      </c>
      <c r="E69" s="36">
        <v>68</v>
      </c>
      <c r="F69" s="36">
        <v>56</v>
      </c>
      <c r="G69" s="36">
        <v>101</v>
      </c>
      <c r="H69" s="36">
        <v>34</v>
      </c>
      <c r="I69" s="36">
        <v>94</v>
      </c>
      <c r="J69" s="36">
        <v>0.35</v>
      </c>
    </row>
    <row r="70" spans="1:10" x14ac:dyDescent="0.25">
      <c r="A70" s="36">
        <v>79</v>
      </c>
      <c r="B70" s="36">
        <v>58</v>
      </c>
      <c r="C70" s="36">
        <v>65</v>
      </c>
      <c r="D70" s="36">
        <v>18</v>
      </c>
      <c r="E70" s="36">
        <v>68</v>
      </c>
      <c r="F70" s="36">
        <v>56</v>
      </c>
      <c r="G70" s="36">
        <v>101</v>
      </c>
      <c r="H70" s="36">
        <v>34</v>
      </c>
      <c r="I70" s="36">
        <v>94</v>
      </c>
      <c r="J70" s="36">
        <v>0.35</v>
      </c>
    </row>
    <row r="71" spans="1:10" x14ac:dyDescent="0.25">
      <c r="A71" s="36">
        <v>80</v>
      </c>
      <c r="B71" s="36">
        <v>58</v>
      </c>
      <c r="C71" s="36">
        <v>65</v>
      </c>
      <c r="D71" s="36">
        <v>18</v>
      </c>
      <c r="E71" s="36">
        <v>68</v>
      </c>
      <c r="F71" s="36">
        <v>56</v>
      </c>
      <c r="G71" s="36">
        <v>101</v>
      </c>
      <c r="H71" s="36">
        <v>34</v>
      </c>
      <c r="I71" s="36">
        <v>94</v>
      </c>
      <c r="J71" s="36">
        <v>0.35</v>
      </c>
    </row>
    <row r="72" spans="1:10" x14ac:dyDescent="0.25">
      <c r="A72" s="36">
        <v>81</v>
      </c>
      <c r="B72" s="36">
        <v>58</v>
      </c>
      <c r="C72" s="36">
        <v>65</v>
      </c>
      <c r="D72" s="36">
        <v>18</v>
      </c>
      <c r="E72" s="36">
        <v>68</v>
      </c>
      <c r="F72" s="36">
        <v>56</v>
      </c>
      <c r="G72" s="36">
        <v>101</v>
      </c>
      <c r="H72" s="36">
        <v>34</v>
      </c>
      <c r="I72" s="36">
        <v>94</v>
      </c>
      <c r="J72" s="36">
        <v>0.35</v>
      </c>
    </row>
    <row r="73" spans="1:10" x14ac:dyDescent="0.25">
      <c r="A73" s="36">
        <v>82</v>
      </c>
      <c r="B73" s="36">
        <v>58</v>
      </c>
      <c r="C73" s="36">
        <v>65</v>
      </c>
      <c r="D73" s="36">
        <v>18</v>
      </c>
      <c r="E73" s="36">
        <v>68</v>
      </c>
      <c r="F73" s="36">
        <v>56</v>
      </c>
      <c r="G73" s="36">
        <v>101</v>
      </c>
      <c r="H73" s="36">
        <v>34</v>
      </c>
      <c r="I73" s="36">
        <v>95</v>
      </c>
      <c r="J73" s="36">
        <v>0.35</v>
      </c>
    </row>
    <row r="74" spans="1:10" x14ac:dyDescent="0.25">
      <c r="A74" s="36">
        <v>83</v>
      </c>
      <c r="B74" s="36">
        <v>58</v>
      </c>
      <c r="C74" s="36">
        <v>65</v>
      </c>
      <c r="D74" s="36">
        <v>18</v>
      </c>
      <c r="E74" s="36">
        <v>68</v>
      </c>
      <c r="F74" s="36">
        <v>56</v>
      </c>
      <c r="G74" s="36">
        <v>101</v>
      </c>
      <c r="H74" s="36">
        <v>34</v>
      </c>
      <c r="I74" s="36">
        <v>95</v>
      </c>
      <c r="J74" s="36">
        <v>0.28000000000000003</v>
      </c>
    </row>
    <row r="75" spans="1:10" x14ac:dyDescent="0.25">
      <c r="A75" s="36">
        <v>84</v>
      </c>
      <c r="B75" s="36">
        <v>58</v>
      </c>
      <c r="C75" s="36">
        <v>65</v>
      </c>
      <c r="D75" s="36">
        <v>18</v>
      </c>
      <c r="E75" s="36">
        <v>68</v>
      </c>
      <c r="F75" s="36">
        <v>56</v>
      </c>
      <c r="G75" s="36">
        <v>101</v>
      </c>
      <c r="H75" s="36">
        <v>34</v>
      </c>
      <c r="I75" s="36">
        <v>95</v>
      </c>
      <c r="J75" s="36">
        <v>0.28000000000000003</v>
      </c>
    </row>
    <row r="76" spans="1:10" x14ac:dyDescent="0.25">
      <c r="A76" s="36">
        <v>85</v>
      </c>
      <c r="B76" s="36">
        <v>58</v>
      </c>
      <c r="C76" s="36">
        <v>65</v>
      </c>
      <c r="D76" s="36">
        <v>18</v>
      </c>
      <c r="E76" s="36">
        <v>68</v>
      </c>
      <c r="F76" s="36">
        <v>56</v>
      </c>
      <c r="G76" s="36">
        <v>101</v>
      </c>
      <c r="H76" s="36">
        <v>34</v>
      </c>
      <c r="I76" s="36">
        <v>95</v>
      </c>
      <c r="J76" s="36">
        <v>0.28000000000000003</v>
      </c>
    </row>
    <row r="77" spans="1:10" x14ac:dyDescent="0.25">
      <c r="A77" s="36">
        <v>86</v>
      </c>
      <c r="B77" s="36">
        <v>58</v>
      </c>
      <c r="C77" s="36">
        <v>65</v>
      </c>
      <c r="D77" s="36">
        <v>18</v>
      </c>
      <c r="E77" s="36">
        <v>68</v>
      </c>
      <c r="F77" s="36">
        <v>56</v>
      </c>
      <c r="G77" s="36">
        <v>101</v>
      </c>
      <c r="H77" s="36">
        <v>34</v>
      </c>
      <c r="I77" s="36">
        <v>95</v>
      </c>
      <c r="J77" s="36">
        <v>0.28000000000000003</v>
      </c>
    </row>
    <row r="78" spans="1:10" x14ac:dyDescent="0.25">
      <c r="A78" s="36">
        <v>87</v>
      </c>
      <c r="B78" s="36">
        <v>58</v>
      </c>
      <c r="C78" s="36">
        <v>65</v>
      </c>
      <c r="D78" s="36">
        <v>18</v>
      </c>
      <c r="E78" s="36">
        <v>68</v>
      </c>
      <c r="F78" s="36">
        <v>56</v>
      </c>
      <c r="G78" s="36">
        <v>101</v>
      </c>
      <c r="H78" s="36">
        <v>34</v>
      </c>
      <c r="I78" s="36">
        <v>95</v>
      </c>
      <c r="J78" s="36">
        <v>0.28000000000000003</v>
      </c>
    </row>
    <row r="79" spans="1:10" x14ac:dyDescent="0.25">
      <c r="A79" s="36">
        <v>88</v>
      </c>
      <c r="B79" s="36">
        <v>58</v>
      </c>
      <c r="C79" s="36">
        <v>65</v>
      </c>
      <c r="D79" s="36">
        <v>18</v>
      </c>
      <c r="E79" s="36">
        <v>68</v>
      </c>
      <c r="F79" s="36">
        <v>56</v>
      </c>
      <c r="G79" s="36">
        <v>101</v>
      </c>
      <c r="H79" s="36">
        <v>34</v>
      </c>
      <c r="I79" s="36">
        <v>95</v>
      </c>
      <c r="J79" s="36">
        <v>0.28000000000000003</v>
      </c>
    </row>
    <row r="80" spans="1:10" x14ac:dyDescent="0.25">
      <c r="A80" s="36">
        <v>89</v>
      </c>
      <c r="B80" s="36">
        <v>58</v>
      </c>
      <c r="C80" s="36">
        <v>65</v>
      </c>
      <c r="D80" s="36">
        <v>18</v>
      </c>
      <c r="E80" s="36">
        <v>68</v>
      </c>
      <c r="F80" s="36">
        <v>56</v>
      </c>
      <c r="G80" s="36">
        <v>101</v>
      </c>
      <c r="H80" s="36">
        <v>34</v>
      </c>
      <c r="I80" s="36">
        <v>95</v>
      </c>
      <c r="J80" s="36">
        <v>0.28000000000000003</v>
      </c>
    </row>
    <row r="81" spans="1:10" x14ac:dyDescent="0.25">
      <c r="A81" s="36">
        <v>90</v>
      </c>
      <c r="B81" s="36">
        <v>58</v>
      </c>
      <c r="C81" s="36">
        <v>65</v>
      </c>
      <c r="D81" s="36">
        <v>18</v>
      </c>
      <c r="E81" s="36">
        <v>68</v>
      </c>
      <c r="F81" s="36">
        <v>56</v>
      </c>
      <c r="G81" s="36">
        <v>101</v>
      </c>
      <c r="H81" s="36">
        <v>34</v>
      </c>
      <c r="I81" s="36">
        <v>95</v>
      </c>
      <c r="J81" s="36">
        <v>0.28000000000000003</v>
      </c>
    </row>
    <row r="82" spans="1:10" x14ac:dyDescent="0.25">
      <c r="A82" s="36">
        <v>91</v>
      </c>
      <c r="B82" s="36">
        <v>58</v>
      </c>
      <c r="C82" s="36">
        <v>65</v>
      </c>
      <c r="D82" s="36">
        <v>18</v>
      </c>
      <c r="E82" s="36">
        <v>68</v>
      </c>
      <c r="F82" s="36">
        <v>56</v>
      </c>
      <c r="G82" s="36">
        <v>101</v>
      </c>
      <c r="H82" s="36">
        <v>34</v>
      </c>
      <c r="I82" s="36">
        <v>95</v>
      </c>
      <c r="J82" s="36">
        <v>0.28000000000000003</v>
      </c>
    </row>
    <row r="83" spans="1:10" x14ac:dyDescent="0.25">
      <c r="A83" s="36">
        <v>92</v>
      </c>
      <c r="B83" s="36">
        <v>58</v>
      </c>
      <c r="C83" s="36">
        <v>65</v>
      </c>
      <c r="D83" s="36">
        <v>18</v>
      </c>
      <c r="E83" s="36">
        <v>68</v>
      </c>
      <c r="F83" s="36">
        <v>56</v>
      </c>
      <c r="G83" s="36">
        <v>101</v>
      </c>
      <c r="H83" s="36">
        <v>34</v>
      </c>
      <c r="I83" s="36">
        <v>95</v>
      </c>
      <c r="J83" s="36">
        <v>0.28000000000000003</v>
      </c>
    </row>
    <row r="84" spans="1:10" x14ac:dyDescent="0.25">
      <c r="A84" s="36">
        <v>93</v>
      </c>
      <c r="B84" s="36">
        <v>58</v>
      </c>
      <c r="C84" s="36">
        <v>65</v>
      </c>
      <c r="D84" s="36">
        <v>18</v>
      </c>
      <c r="E84" s="36">
        <v>68</v>
      </c>
      <c r="F84" s="36">
        <v>56</v>
      </c>
      <c r="G84" s="36">
        <v>101</v>
      </c>
      <c r="H84" s="36">
        <v>34</v>
      </c>
      <c r="I84" s="36">
        <v>95</v>
      </c>
      <c r="J84" s="36">
        <v>0.28000000000000003</v>
      </c>
    </row>
    <row r="85" spans="1:10" x14ac:dyDescent="0.25">
      <c r="A85" s="36">
        <v>94</v>
      </c>
      <c r="B85" s="36">
        <v>58</v>
      </c>
      <c r="C85" s="36">
        <v>65</v>
      </c>
      <c r="D85" s="36">
        <v>18</v>
      </c>
      <c r="E85" s="36">
        <v>68</v>
      </c>
      <c r="F85" s="36">
        <v>56</v>
      </c>
      <c r="G85" s="36">
        <v>101</v>
      </c>
      <c r="H85" s="36">
        <v>34</v>
      </c>
      <c r="I85" s="36">
        <v>95</v>
      </c>
      <c r="J85" s="36">
        <v>0.28000000000000003</v>
      </c>
    </row>
    <row r="86" spans="1:10" x14ac:dyDescent="0.25">
      <c r="A86" s="36">
        <v>95</v>
      </c>
      <c r="B86" s="36">
        <v>58</v>
      </c>
      <c r="C86" s="36">
        <v>65</v>
      </c>
      <c r="D86" s="36">
        <v>18</v>
      </c>
      <c r="E86" s="36">
        <v>68</v>
      </c>
      <c r="F86" s="36">
        <v>56</v>
      </c>
      <c r="G86" s="36">
        <v>101</v>
      </c>
      <c r="H86" s="36">
        <v>34</v>
      </c>
      <c r="I86" s="36">
        <v>95</v>
      </c>
      <c r="J86" s="36">
        <v>0.28000000000000003</v>
      </c>
    </row>
    <row r="87" spans="1:10" x14ac:dyDescent="0.25">
      <c r="A87" s="36">
        <v>96</v>
      </c>
      <c r="B87" s="36">
        <v>58</v>
      </c>
      <c r="C87" s="36">
        <v>65</v>
      </c>
      <c r="D87" s="36">
        <v>18</v>
      </c>
      <c r="E87" s="36">
        <v>68</v>
      </c>
      <c r="F87" s="36">
        <v>56</v>
      </c>
      <c r="G87" s="36">
        <v>101</v>
      </c>
      <c r="H87" s="36">
        <v>34</v>
      </c>
      <c r="I87" s="36">
        <v>95</v>
      </c>
      <c r="J87" s="36">
        <v>0.28000000000000003</v>
      </c>
    </row>
    <row r="88" spans="1:10" x14ac:dyDescent="0.25">
      <c r="A88" s="36">
        <v>97</v>
      </c>
      <c r="B88" s="36">
        <v>58</v>
      </c>
      <c r="C88" s="36">
        <v>65</v>
      </c>
      <c r="D88" s="36">
        <v>18</v>
      </c>
      <c r="E88" s="36">
        <v>68</v>
      </c>
      <c r="F88" s="36">
        <v>56</v>
      </c>
      <c r="G88" s="36">
        <v>101</v>
      </c>
      <c r="H88" s="36">
        <v>34</v>
      </c>
      <c r="I88" s="36">
        <v>95</v>
      </c>
      <c r="J88" s="36">
        <v>0.28000000000000003</v>
      </c>
    </row>
    <row r="89" spans="1:10" x14ac:dyDescent="0.25">
      <c r="A89" s="36">
        <v>98</v>
      </c>
      <c r="B89" s="36">
        <v>58</v>
      </c>
      <c r="C89" s="36">
        <v>65</v>
      </c>
      <c r="D89" s="36">
        <v>18</v>
      </c>
      <c r="E89" s="36">
        <v>68</v>
      </c>
      <c r="F89" s="36">
        <v>56</v>
      </c>
      <c r="G89" s="36">
        <v>101</v>
      </c>
      <c r="H89" s="36">
        <v>34</v>
      </c>
      <c r="I89" s="36">
        <v>95</v>
      </c>
      <c r="J89" s="36">
        <v>0.28000000000000003</v>
      </c>
    </row>
    <row r="90" spans="1:10" x14ac:dyDescent="0.25">
      <c r="A90" s="36">
        <v>99</v>
      </c>
      <c r="B90" s="36">
        <v>58</v>
      </c>
      <c r="C90" s="36">
        <v>65</v>
      </c>
      <c r="D90" s="36">
        <v>18</v>
      </c>
      <c r="E90" s="36">
        <v>68</v>
      </c>
      <c r="F90" s="36">
        <v>56</v>
      </c>
      <c r="G90" s="36">
        <v>101</v>
      </c>
      <c r="H90" s="36">
        <v>34</v>
      </c>
      <c r="I90" s="36">
        <v>95</v>
      </c>
      <c r="J90" s="36">
        <v>0.28000000000000003</v>
      </c>
    </row>
    <row r="91" spans="1:10" x14ac:dyDescent="0.25">
      <c r="A91" s="36">
        <v>100</v>
      </c>
      <c r="B91" s="36">
        <v>58</v>
      </c>
      <c r="C91" s="36">
        <v>65</v>
      </c>
      <c r="D91" s="36">
        <v>18</v>
      </c>
      <c r="E91" s="36">
        <v>68</v>
      </c>
      <c r="F91" s="36">
        <v>56</v>
      </c>
      <c r="G91" s="36">
        <v>101</v>
      </c>
      <c r="H91" s="36">
        <v>34</v>
      </c>
      <c r="I91" s="36">
        <v>95</v>
      </c>
      <c r="J91" s="36">
        <v>0.28000000000000003</v>
      </c>
    </row>
    <row r="92" spans="1:10" x14ac:dyDescent="0.25">
      <c r="A92" s="36">
        <v>101</v>
      </c>
      <c r="B92" s="36">
        <v>58</v>
      </c>
      <c r="C92" s="36">
        <v>65</v>
      </c>
      <c r="D92" s="36">
        <v>18</v>
      </c>
      <c r="E92" s="36">
        <v>68</v>
      </c>
      <c r="F92" s="36">
        <v>56</v>
      </c>
      <c r="G92" s="36">
        <v>101</v>
      </c>
      <c r="H92" s="36">
        <v>34</v>
      </c>
      <c r="I92" s="36">
        <v>95</v>
      </c>
      <c r="J92" s="36">
        <v>0.28000000000000003</v>
      </c>
    </row>
    <row r="93" spans="1:10" x14ac:dyDescent="0.25">
      <c r="A93" s="36">
        <v>102</v>
      </c>
      <c r="B93" s="36">
        <v>58</v>
      </c>
      <c r="C93" s="36">
        <v>65</v>
      </c>
      <c r="D93" s="36">
        <v>18</v>
      </c>
      <c r="E93" s="36">
        <v>68</v>
      </c>
      <c r="F93" s="36">
        <v>56</v>
      </c>
      <c r="G93" s="36">
        <v>101</v>
      </c>
      <c r="H93" s="36">
        <v>34</v>
      </c>
      <c r="I93" s="36">
        <v>95</v>
      </c>
      <c r="J93" s="36">
        <v>0.28000000000000003</v>
      </c>
    </row>
    <row r="94" spans="1:10" x14ac:dyDescent="0.25">
      <c r="A94" s="36">
        <v>103</v>
      </c>
      <c r="B94" s="36">
        <v>58</v>
      </c>
      <c r="C94" s="36">
        <v>65</v>
      </c>
      <c r="D94" s="36">
        <v>18</v>
      </c>
      <c r="E94" s="36">
        <v>68</v>
      </c>
      <c r="F94" s="36">
        <v>56</v>
      </c>
      <c r="G94" s="36">
        <v>101</v>
      </c>
      <c r="H94" s="36">
        <v>34</v>
      </c>
      <c r="I94" s="36">
        <v>95</v>
      </c>
      <c r="J94" s="36">
        <v>0.25</v>
      </c>
    </row>
    <row r="95" spans="1:10" x14ac:dyDescent="0.25">
      <c r="A95" s="36">
        <v>104</v>
      </c>
      <c r="B95" s="36">
        <v>58</v>
      </c>
      <c r="C95" s="36">
        <v>66</v>
      </c>
      <c r="D95" s="36">
        <v>18</v>
      </c>
      <c r="E95" s="36">
        <v>68</v>
      </c>
      <c r="F95" s="36">
        <v>56</v>
      </c>
      <c r="G95" s="36">
        <v>102</v>
      </c>
      <c r="H95" s="36">
        <v>34</v>
      </c>
      <c r="I95" s="36">
        <v>96</v>
      </c>
      <c r="J95" s="36">
        <v>0.25</v>
      </c>
    </row>
    <row r="96" spans="1:10" x14ac:dyDescent="0.25">
      <c r="A96" s="36">
        <v>105</v>
      </c>
      <c r="B96" s="36">
        <v>58</v>
      </c>
      <c r="C96" s="36">
        <v>66</v>
      </c>
      <c r="D96" s="36">
        <v>18</v>
      </c>
      <c r="E96" s="36">
        <v>68</v>
      </c>
      <c r="F96" s="36">
        <v>56</v>
      </c>
      <c r="G96" s="36">
        <v>102</v>
      </c>
      <c r="H96" s="36">
        <v>34</v>
      </c>
      <c r="I96" s="36">
        <v>96</v>
      </c>
      <c r="J96" s="36">
        <v>0.25</v>
      </c>
    </row>
    <row r="97" spans="1:10" x14ac:dyDescent="0.25">
      <c r="A97" s="36">
        <v>106</v>
      </c>
      <c r="B97" s="36">
        <v>58</v>
      </c>
      <c r="C97" s="36">
        <v>66</v>
      </c>
      <c r="D97" s="36">
        <v>18</v>
      </c>
      <c r="E97" s="36">
        <v>68</v>
      </c>
      <c r="F97" s="36">
        <v>56</v>
      </c>
      <c r="G97" s="36">
        <v>102</v>
      </c>
      <c r="H97" s="36">
        <v>34</v>
      </c>
      <c r="I97" s="36">
        <v>96</v>
      </c>
      <c r="J97" s="36">
        <v>0.25</v>
      </c>
    </row>
    <row r="98" spans="1:10" x14ac:dyDescent="0.25">
      <c r="A98" s="36">
        <v>107</v>
      </c>
      <c r="B98" s="36">
        <v>58</v>
      </c>
      <c r="C98" s="36">
        <v>66</v>
      </c>
      <c r="D98" s="36">
        <v>18</v>
      </c>
      <c r="E98" s="36">
        <v>68</v>
      </c>
      <c r="F98" s="36">
        <v>56</v>
      </c>
      <c r="G98" s="36">
        <v>102</v>
      </c>
      <c r="H98" s="36">
        <v>34</v>
      </c>
      <c r="I98" s="36">
        <v>96</v>
      </c>
      <c r="J98" s="36">
        <v>0.25</v>
      </c>
    </row>
    <row r="99" spans="1:10" x14ac:dyDescent="0.25">
      <c r="A99" s="36">
        <v>108</v>
      </c>
      <c r="B99" s="36">
        <v>58</v>
      </c>
      <c r="C99" s="36">
        <v>66</v>
      </c>
      <c r="D99" s="36">
        <v>18</v>
      </c>
      <c r="E99" s="36">
        <v>68</v>
      </c>
      <c r="F99" s="36">
        <v>56</v>
      </c>
      <c r="G99" s="36">
        <v>102</v>
      </c>
      <c r="H99" s="36">
        <v>34</v>
      </c>
      <c r="I99" s="36">
        <v>96</v>
      </c>
      <c r="J99" s="36">
        <v>0.25</v>
      </c>
    </row>
    <row r="100" spans="1:10" x14ac:dyDescent="0.25">
      <c r="A100" s="36">
        <v>109</v>
      </c>
      <c r="B100" s="36">
        <v>58</v>
      </c>
      <c r="C100" s="36">
        <v>66</v>
      </c>
      <c r="D100" s="36">
        <v>18</v>
      </c>
      <c r="E100" s="36">
        <v>68</v>
      </c>
      <c r="F100" s="36">
        <v>56</v>
      </c>
      <c r="G100" s="36">
        <v>102</v>
      </c>
      <c r="H100" s="36">
        <v>34</v>
      </c>
      <c r="I100" s="36">
        <v>96</v>
      </c>
      <c r="J100" s="36">
        <v>0.25</v>
      </c>
    </row>
    <row r="101" spans="1:10" x14ac:dyDescent="0.25">
      <c r="A101" s="36">
        <v>110</v>
      </c>
      <c r="B101" s="36">
        <v>58</v>
      </c>
      <c r="C101" s="36">
        <v>66</v>
      </c>
      <c r="D101" s="36">
        <v>18</v>
      </c>
      <c r="E101" s="36">
        <v>68</v>
      </c>
      <c r="F101" s="36">
        <v>56</v>
      </c>
      <c r="G101" s="36">
        <v>102</v>
      </c>
      <c r="H101" s="36">
        <v>34</v>
      </c>
      <c r="I101" s="36">
        <v>96</v>
      </c>
      <c r="J101" s="36">
        <v>0.25</v>
      </c>
    </row>
    <row r="102" spans="1:10" x14ac:dyDescent="0.25">
      <c r="A102" s="36">
        <v>111</v>
      </c>
      <c r="B102" s="36">
        <v>58</v>
      </c>
      <c r="C102" s="36">
        <v>66</v>
      </c>
      <c r="D102" s="36">
        <v>18</v>
      </c>
      <c r="E102" s="36">
        <v>68</v>
      </c>
      <c r="F102" s="36">
        <v>56</v>
      </c>
      <c r="G102" s="36">
        <v>102</v>
      </c>
      <c r="H102" s="36">
        <v>34</v>
      </c>
      <c r="I102" s="36">
        <v>96</v>
      </c>
      <c r="J102" s="36">
        <v>0.25</v>
      </c>
    </row>
    <row r="103" spans="1:10" x14ac:dyDescent="0.25">
      <c r="A103" s="36">
        <v>112</v>
      </c>
      <c r="B103" s="36">
        <v>58</v>
      </c>
      <c r="C103" s="36">
        <v>66</v>
      </c>
      <c r="D103" s="36">
        <v>18</v>
      </c>
      <c r="E103" s="36">
        <v>68</v>
      </c>
      <c r="F103" s="36">
        <v>56</v>
      </c>
      <c r="G103" s="36">
        <v>102</v>
      </c>
      <c r="H103" s="36">
        <v>34</v>
      </c>
      <c r="I103" s="36">
        <v>96</v>
      </c>
      <c r="J103" s="36">
        <v>0.25</v>
      </c>
    </row>
    <row r="104" spans="1:10" x14ac:dyDescent="0.25">
      <c r="A104" s="36">
        <v>113</v>
      </c>
      <c r="B104" s="36">
        <v>58</v>
      </c>
      <c r="C104" s="36">
        <v>66</v>
      </c>
      <c r="D104" s="36">
        <v>18</v>
      </c>
      <c r="E104" s="36">
        <v>68</v>
      </c>
      <c r="F104" s="36">
        <v>56</v>
      </c>
      <c r="G104" s="36">
        <v>102</v>
      </c>
      <c r="H104" s="36">
        <v>34</v>
      </c>
      <c r="I104" s="36">
        <v>96</v>
      </c>
      <c r="J104" s="36">
        <v>0.25</v>
      </c>
    </row>
    <row r="105" spans="1:10" x14ac:dyDescent="0.25">
      <c r="A105" s="36">
        <v>114</v>
      </c>
      <c r="B105" s="36">
        <v>58</v>
      </c>
      <c r="C105" s="36">
        <v>66</v>
      </c>
      <c r="D105" s="36">
        <v>18</v>
      </c>
      <c r="E105" s="36">
        <v>68</v>
      </c>
      <c r="F105" s="36">
        <v>56</v>
      </c>
      <c r="G105" s="36">
        <v>102</v>
      </c>
      <c r="H105" s="36">
        <v>34</v>
      </c>
      <c r="I105" s="36">
        <v>96</v>
      </c>
      <c r="J105" s="36">
        <v>0.25</v>
      </c>
    </row>
    <row r="106" spans="1:10" x14ac:dyDescent="0.25">
      <c r="A106" s="36">
        <v>115</v>
      </c>
      <c r="B106" s="36">
        <v>58</v>
      </c>
      <c r="C106" s="36">
        <v>66</v>
      </c>
      <c r="D106" s="36">
        <v>18</v>
      </c>
      <c r="E106" s="36">
        <v>68</v>
      </c>
      <c r="F106" s="36">
        <v>56</v>
      </c>
      <c r="G106" s="36">
        <v>102</v>
      </c>
      <c r="H106" s="36">
        <v>34</v>
      </c>
      <c r="I106" s="36">
        <v>96</v>
      </c>
      <c r="J106" s="36">
        <v>0.25</v>
      </c>
    </row>
    <row r="107" spans="1:10" x14ac:dyDescent="0.25">
      <c r="A107" s="36">
        <v>116</v>
      </c>
      <c r="B107" s="36">
        <v>58</v>
      </c>
      <c r="C107" s="36">
        <v>66</v>
      </c>
      <c r="D107" s="36">
        <v>18</v>
      </c>
      <c r="E107" s="36">
        <v>68</v>
      </c>
      <c r="F107" s="36">
        <v>56</v>
      </c>
      <c r="G107" s="36">
        <v>102</v>
      </c>
      <c r="H107" s="36">
        <v>34</v>
      </c>
      <c r="I107" s="36">
        <v>96</v>
      </c>
      <c r="J107" s="36">
        <v>0.25</v>
      </c>
    </row>
    <row r="108" spans="1:10" x14ac:dyDescent="0.25">
      <c r="A108" s="36">
        <v>117</v>
      </c>
      <c r="B108" s="36">
        <v>58</v>
      </c>
      <c r="C108" s="36">
        <v>66</v>
      </c>
      <c r="D108" s="36">
        <v>18</v>
      </c>
      <c r="E108" s="36">
        <v>68</v>
      </c>
      <c r="F108" s="36">
        <v>56</v>
      </c>
      <c r="G108" s="36">
        <v>102</v>
      </c>
      <c r="H108" s="36">
        <v>34</v>
      </c>
      <c r="I108" s="36">
        <v>96</v>
      </c>
      <c r="J108" s="36">
        <v>0.25</v>
      </c>
    </row>
    <row r="109" spans="1:10" x14ac:dyDescent="0.25">
      <c r="A109" s="36">
        <v>118</v>
      </c>
      <c r="B109" s="36">
        <v>58</v>
      </c>
      <c r="C109" s="36">
        <v>66</v>
      </c>
      <c r="D109" s="36">
        <v>18</v>
      </c>
      <c r="E109" s="36">
        <v>68</v>
      </c>
      <c r="F109" s="36">
        <v>56</v>
      </c>
      <c r="G109" s="36">
        <v>102</v>
      </c>
      <c r="H109" s="36">
        <v>34</v>
      </c>
      <c r="I109" s="36">
        <v>96</v>
      </c>
      <c r="J109" s="36">
        <v>0.25</v>
      </c>
    </row>
    <row r="110" spans="1:10" x14ac:dyDescent="0.25">
      <c r="A110" s="36">
        <v>119</v>
      </c>
      <c r="B110" s="36">
        <v>58</v>
      </c>
      <c r="C110" s="36">
        <v>66</v>
      </c>
      <c r="D110" s="36">
        <v>18</v>
      </c>
      <c r="E110" s="36">
        <v>68</v>
      </c>
      <c r="F110" s="36">
        <v>56</v>
      </c>
      <c r="G110" s="36">
        <v>102</v>
      </c>
      <c r="H110" s="36">
        <v>34</v>
      </c>
      <c r="I110" s="36">
        <v>96</v>
      </c>
      <c r="J110" s="36">
        <v>0.25</v>
      </c>
    </row>
    <row r="111" spans="1:10" x14ac:dyDescent="0.25">
      <c r="A111" s="36">
        <v>120</v>
      </c>
      <c r="B111" s="36">
        <v>58</v>
      </c>
      <c r="C111" s="36">
        <v>66</v>
      </c>
      <c r="D111" s="36">
        <v>18</v>
      </c>
      <c r="E111" s="36">
        <v>68</v>
      </c>
      <c r="F111" s="36">
        <v>56</v>
      </c>
      <c r="G111" s="36">
        <v>102</v>
      </c>
      <c r="H111" s="36">
        <v>34</v>
      </c>
      <c r="I111" s="36">
        <v>96</v>
      </c>
      <c r="J111" s="36">
        <v>0.25</v>
      </c>
    </row>
    <row r="112" spans="1:10" x14ac:dyDescent="0.25">
      <c r="A112" s="36">
        <v>121</v>
      </c>
      <c r="B112" s="36">
        <v>58</v>
      </c>
      <c r="C112" s="36">
        <v>66</v>
      </c>
      <c r="D112" s="36">
        <v>18</v>
      </c>
      <c r="E112" s="36">
        <v>68</v>
      </c>
      <c r="F112" s="36">
        <v>56</v>
      </c>
      <c r="G112" s="36">
        <v>102</v>
      </c>
      <c r="H112" s="36">
        <v>34</v>
      </c>
      <c r="I112" s="36">
        <v>96</v>
      </c>
      <c r="J112" s="36">
        <v>0.25</v>
      </c>
    </row>
    <row r="113" spans="1:10" x14ac:dyDescent="0.25">
      <c r="A113" s="36">
        <v>122</v>
      </c>
      <c r="B113" s="36">
        <v>58</v>
      </c>
      <c r="C113" s="36">
        <v>66</v>
      </c>
      <c r="D113" s="36">
        <v>18</v>
      </c>
      <c r="E113" s="36">
        <v>68</v>
      </c>
      <c r="F113" s="36">
        <v>56</v>
      </c>
      <c r="G113" s="36">
        <v>102</v>
      </c>
      <c r="H113" s="36">
        <v>34</v>
      </c>
      <c r="I113" s="36">
        <v>96</v>
      </c>
      <c r="J113" s="36">
        <v>0.25</v>
      </c>
    </row>
    <row r="114" spans="1:10" x14ac:dyDescent="0.25">
      <c r="A114" s="36">
        <v>123</v>
      </c>
      <c r="B114" s="36">
        <v>58</v>
      </c>
      <c r="C114" s="36">
        <v>66</v>
      </c>
      <c r="D114" s="36">
        <v>18</v>
      </c>
      <c r="E114" s="36">
        <v>68</v>
      </c>
      <c r="F114" s="36">
        <v>56</v>
      </c>
      <c r="G114" s="36">
        <v>102</v>
      </c>
      <c r="H114" s="36">
        <v>34</v>
      </c>
      <c r="I114" s="36">
        <v>96</v>
      </c>
      <c r="J114" s="36">
        <v>0.25</v>
      </c>
    </row>
    <row r="115" spans="1:10" x14ac:dyDescent="0.25">
      <c r="A115" s="36">
        <v>124</v>
      </c>
      <c r="B115" s="36">
        <v>58</v>
      </c>
      <c r="C115" s="36">
        <v>66</v>
      </c>
      <c r="D115" s="36">
        <v>18</v>
      </c>
      <c r="E115" s="36">
        <v>68</v>
      </c>
      <c r="F115" s="36">
        <v>56</v>
      </c>
      <c r="G115" s="36">
        <v>102</v>
      </c>
      <c r="H115" s="36">
        <v>34</v>
      </c>
      <c r="I115" s="36">
        <v>96</v>
      </c>
      <c r="J115" s="36">
        <v>0.25</v>
      </c>
    </row>
    <row r="116" spans="1:10" x14ac:dyDescent="0.25">
      <c r="A116" s="36">
        <v>125</v>
      </c>
      <c r="B116" s="36">
        <v>58</v>
      </c>
      <c r="C116" s="36">
        <v>66</v>
      </c>
      <c r="D116" s="36">
        <v>18</v>
      </c>
      <c r="E116" s="36">
        <v>68</v>
      </c>
      <c r="F116" s="36">
        <v>56</v>
      </c>
      <c r="G116" s="36">
        <v>102</v>
      </c>
      <c r="H116" s="36">
        <v>34</v>
      </c>
      <c r="I116" s="36">
        <v>96</v>
      </c>
      <c r="J116" s="36">
        <v>0.25</v>
      </c>
    </row>
    <row r="117" spans="1:10" x14ac:dyDescent="0.25">
      <c r="A117" s="36">
        <v>126</v>
      </c>
      <c r="B117" s="36">
        <v>58</v>
      </c>
      <c r="C117" s="36">
        <v>66</v>
      </c>
      <c r="D117" s="36">
        <v>18</v>
      </c>
      <c r="E117" s="36">
        <v>68</v>
      </c>
      <c r="F117" s="36">
        <v>56</v>
      </c>
      <c r="G117" s="36">
        <v>102</v>
      </c>
      <c r="H117" s="36">
        <v>34</v>
      </c>
      <c r="I117" s="36">
        <v>96</v>
      </c>
      <c r="J117" s="36">
        <v>0.25</v>
      </c>
    </row>
    <row r="118" spans="1:10" x14ac:dyDescent="0.25">
      <c r="A118" s="36">
        <v>127</v>
      </c>
      <c r="B118" s="36">
        <v>58</v>
      </c>
      <c r="C118" s="36">
        <v>66</v>
      </c>
      <c r="D118" s="36">
        <v>18</v>
      </c>
      <c r="E118" s="36">
        <v>68</v>
      </c>
      <c r="F118" s="36">
        <v>56</v>
      </c>
      <c r="G118" s="36">
        <v>102</v>
      </c>
      <c r="H118" s="36">
        <v>34</v>
      </c>
      <c r="I118" s="36">
        <v>96</v>
      </c>
      <c r="J118" s="36">
        <v>0.25</v>
      </c>
    </row>
    <row r="119" spans="1:10" x14ac:dyDescent="0.25">
      <c r="A119" s="36">
        <v>128</v>
      </c>
      <c r="B119" s="36">
        <v>58</v>
      </c>
      <c r="C119" s="36">
        <v>66</v>
      </c>
      <c r="D119" s="36">
        <v>18</v>
      </c>
      <c r="E119" s="36">
        <v>68</v>
      </c>
      <c r="F119" s="36">
        <v>56</v>
      </c>
      <c r="G119" s="36">
        <v>102</v>
      </c>
      <c r="H119" s="36">
        <v>34</v>
      </c>
      <c r="I119" s="36">
        <v>96</v>
      </c>
      <c r="J119" s="36">
        <v>0.25</v>
      </c>
    </row>
    <row r="120" spans="1:10" x14ac:dyDescent="0.25">
      <c r="A120" s="36">
        <v>129</v>
      </c>
      <c r="B120" s="36">
        <v>58</v>
      </c>
      <c r="C120" s="36">
        <v>66</v>
      </c>
      <c r="D120" s="36">
        <v>18</v>
      </c>
      <c r="E120" s="36">
        <v>68</v>
      </c>
      <c r="F120" s="36">
        <v>56</v>
      </c>
      <c r="G120" s="36">
        <v>102</v>
      </c>
      <c r="H120" s="36">
        <v>34</v>
      </c>
      <c r="I120" s="36">
        <v>96</v>
      </c>
      <c r="J120" s="36">
        <v>0.25</v>
      </c>
    </row>
    <row r="121" spans="1:10" x14ac:dyDescent="0.25">
      <c r="A121" s="36">
        <v>130</v>
      </c>
      <c r="B121" s="36">
        <v>58</v>
      </c>
      <c r="C121" s="36">
        <v>66</v>
      </c>
      <c r="D121" s="36">
        <v>18</v>
      </c>
      <c r="E121" s="36">
        <v>68</v>
      </c>
      <c r="F121" s="36">
        <v>56</v>
      </c>
      <c r="G121" s="36">
        <v>102</v>
      </c>
      <c r="H121" s="36">
        <v>34</v>
      </c>
      <c r="I121" s="36">
        <v>96</v>
      </c>
      <c r="J121" s="36">
        <v>0.25</v>
      </c>
    </row>
    <row r="122" spans="1:10" x14ac:dyDescent="0.25">
      <c r="A122" s="36">
        <v>131</v>
      </c>
      <c r="B122" s="36">
        <v>58</v>
      </c>
      <c r="C122" s="36">
        <v>66</v>
      </c>
      <c r="D122" s="36">
        <v>18</v>
      </c>
      <c r="E122" s="36">
        <v>68</v>
      </c>
      <c r="F122" s="36">
        <v>56</v>
      </c>
      <c r="G122" s="36">
        <v>102</v>
      </c>
      <c r="H122" s="36">
        <v>34</v>
      </c>
      <c r="I122" s="36">
        <v>96</v>
      </c>
      <c r="J122" s="36">
        <v>0.25</v>
      </c>
    </row>
    <row r="123" spans="1:10" x14ac:dyDescent="0.25">
      <c r="A123" s="36">
        <v>132</v>
      </c>
      <c r="B123" s="36">
        <v>58</v>
      </c>
      <c r="C123" s="36">
        <v>66</v>
      </c>
      <c r="D123" s="36">
        <v>18</v>
      </c>
      <c r="E123" s="36">
        <v>68</v>
      </c>
      <c r="F123" s="36">
        <v>56</v>
      </c>
      <c r="G123" s="36">
        <v>102</v>
      </c>
      <c r="H123" s="36">
        <v>34</v>
      </c>
      <c r="I123" s="36">
        <v>96</v>
      </c>
      <c r="J123" s="36">
        <v>0.25</v>
      </c>
    </row>
    <row r="124" spans="1:10" x14ac:dyDescent="0.25">
      <c r="A124" s="36">
        <v>133</v>
      </c>
      <c r="B124" s="36">
        <v>58</v>
      </c>
      <c r="C124" s="36">
        <v>66</v>
      </c>
      <c r="D124" s="36">
        <v>18</v>
      </c>
      <c r="E124" s="36">
        <v>68</v>
      </c>
      <c r="F124" s="36">
        <v>56</v>
      </c>
      <c r="G124" s="36">
        <v>102</v>
      </c>
      <c r="H124" s="36">
        <v>34</v>
      </c>
      <c r="I124" s="36">
        <v>96</v>
      </c>
      <c r="J124" s="36">
        <v>0.25</v>
      </c>
    </row>
    <row r="125" spans="1:10" x14ac:dyDescent="0.25">
      <c r="A125" s="36">
        <v>134</v>
      </c>
      <c r="B125" s="36">
        <v>58</v>
      </c>
      <c r="C125" s="36">
        <v>66</v>
      </c>
      <c r="D125" s="36">
        <v>18</v>
      </c>
      <c r="E125" s="36">
        <v>68</v>
      </c>
      <c r="F125" s="36">
        <v>56</v>
      </c>
      <c r="G125" s="36">
        <v>102</v>
      </c>
      <c r="H125" s="36">
        <v>34</v>
      </c>
      <c r="I125" s="36">
        <v>96</v>
      </c>
      <c r="J125" s="36">
        <v>0.25</v>
      </c>
    </row>
    <row r="126" spans="1:10" x14ac:dyDescent="0.25">
      <c r="A126" s="36">
        <v>135</v>
      </c>
      <c r="B126" s="36">
        <v>58</v>
      </c>
      <c r="C126" s="36">
        <v>66</v>
      </c>
      <c r="D126" s="36">
        <v>18</v>
      </c>
      <c r="E126" s="36">
        <v>68</v>
      </c>
      <c r="F126" s="36">
        <v>56</v>
      </c>
      <c r="G126" s="36">
        <v>102</v>
      </c>
      <c r="H126" s="36">
        <v>34</v>
      </c>
      <c r="I126" s="36">
        <v>96</v>
      </c>
      <c r="J126" s="36">
        <v>0.25</v>
      </c>
    </row>
    <row r="127" spans="1:10" x14ac:dyDescent="0.25">
      <c r="A127" s="36">
        <v>136</v>
      </c>
      <c r="B127" s="36">
        <v>58</v>
      </c>
      <c r="C127" s="36">
        <v>66</v>
      </c>
      <c r="D127" s="36">
        <v>18</v>
      </c>
      <c r="E127" s="36">
        <v>68</v>
      </c>
      <c r="F127" s="36">
        <v>56</v>
      </c>
      <c r="G127" s="36">
        <v>102</v>
      </c>
      <c r="H127" s="36">
        <v>34</v>
      </c>
      <c r="I127" s="36">
        <v>96</v>
      </c>
      <c r="J127" s="36">
        <v>0.25</v>
      </c>
    </row>
    <row r="128" spans="1:10" x14ac:dyDescent="0.25">
      <c r="A128" s="36">
        <v>137</v>
      </c>
      <c r="B128" s="36">
        <v>58</v>
      </c>
      <c r="C128" s="36">
        <v>66</v>
      </c>
      <c r="D128" s="36">
        <v>18</v>
      </c>
      <c r="E128" s="36">
        <v>68</v>
      </c>
      <c r="F128" s="36">
        <v>56</v>
      </c>
      <c r="G128" s="36">
        <v>102</v>
      </c>
      <c r="H128" s="36">
        <v>34</v>
      </c>
      <c r="I128" s="36">
        <v>96</v>
      </c>
      <c r="J128" s="36">
        <v>0.25</v>
      </c>
    </row>
    <row r="129" spans="1:10" x14ac:dyDescent="0.25">
      <c r="A129" s="36">
        <v>138</v>
      </c>
      <c r="B129" s="36">
        <v>58</v>
      </c>
      <c r="C129" s="36">
        <v>66</v>
      </c>
      <c r="D129" s="36">
        <v>18</v>
      </c>
      <c r="E129" s="36">
        <v>68</v>
      </c>
      <c r="F129" s="36">
        <v>56</v>
      </c>
      <c r="G129" s="36">
        <v>102</v>
      </c>
      <c r="H129" s="36">
        <v>34</v>
      </c>
      <c r="I129" s="36">
        <v>96</v>
      </c>
      <c r="J129" s="36">
        <v>0.25</v>
      </c>
    </row>
    <row r="130" spans="1:10" x14ac:dyDescent="0.25">
      <c r="A130" s="36">
        <v>139</v>
      </c>
      <c r="B130" s="36">
        <v>58</v>
      </c>
      <c r="C130" s="36">
        <v>66</v>
      </c>
      <c r="D130" s="36">
        <v>18</v>
      </c>
      <c r="E130" s="36">
        <v>68</v>
      </c>
      <c r="F130" s="36">
        <v>56</v>
      </c>
      <c r="G130" s="36">
        <v>102</v>
      </c>
      <c r="H130" s="36">
        <v>34</v>
      </c>
      <c r="I130" s="36">
        <v>96</v>
      </c>
      <c r="J130" s="36">
        <v>0.25</v>
      </c>
    </row>
    <row r="131" spans="1:10" x14ac:dyDescent="0.25">
      <c r="A131" s="36">
        <v>140</v>
      </c>
      <c r="B131" s="36">
        <v>58</v>
      </c>
      <c r="C131" s="36">
        <v>66</v>
      </c>
      <c r="D131" s="36">
        <v>18</v>
      </c>
      <c r="E131" s="36">
        <v>68</v>
      </c>
      <c r="F131" s="36">
        <v>56</v>
      </c>
      <c r="G131" s="36">
        <v>102</v>
      </c>
      <c r="H131" s="36">
        <v>34</v>
      </c>
      <c r="I131" s="36">
        <v>96</v>
      </c>
      <c r="J131" s="36">
        <v>0.25</v>
      </c>
    </row>
    <row r="132" spans="1:10" x14ac:dyDescent="0.25">
      <c r="A132" s="36">
        <v>141</v>
      </c>
      <c r="B132" s="36">
        <v>58</v>
      </c>
      <c r="C132" s="36">
        <v>66</v>
      </c>
      <c r="D132" s="36">
        <v>18</v>
      </c>
      <c r="E132" s="36">
        <v>68</v>
      </c>
      <c r="F132" s="36">
        <v>56</v>
      </c>
      <c r="G132" s="36">
        <v>102</v>
      </c>
      <c r="H132" s="36">
        <v>34</v>
      </c>
      <c r="I132" s="36">
        <v>96</v>
      </c>
      <c r="J132" s="36">
        <v>0.25</v>
      </c>
    </row>
    <row r="133" spans="1:10" x14ac:dyDescent="0.25">
      <c r="A133" s="36">
        <v>142</v>
      </c>
      <c r="B133" s="36">
        <v>58</v>
      </c>
      <c r="C133" s="36">
        <v>66</v>
      </c>
      <c r="D133" s="36">
        <v>18</v>
      </c>
      <c r="E133" s="36">
        <v>68</v>
      </c>
      <c r="F133" s="36">
        <v>56</v>
      </c>
      <c r="G133" s="36">
        <v>102</v>
      </c>
      <c r="H133" s="36">
        <v>34</v>
      </c>
      <c r="I133" s="36">
        <v>96</v>
      </c>
      <c r="J133" s="36">
        <v>0.25</v>
      </c>
    </row>
    <row r="134" spans="1:10" x14ac:dyDescent="0.25">
      <c r="A134" s="36">
        <v>143</v>
      </c>
      <c r="B134" s="36">
        <v>58</v>
      </c>
      <c r="C134" s="36">
        <v>66</v>
      </c>
      <c r="D134" s="36">
        <v>18</v>
      </c>
      <c r="E134" s="36">
        <v>68</v>
      </c>
      <c r="F134" s="36">
        <v>56</v>
      </c>
      <c r="G134" s="36">
        <v>102</v>
      </c>
      <c r="H134" s="36">
        <v>34</v>
      </c>
      <c r="I134" s="36">
        <v>96</v>
      </c>
      <c r="J134" s="36">
        <v>0.25</v>
      </c>
    </row>
    <row r="135" spans="1:10" x14ac:dyDescent="0.25">
      <c r="A135" s="36">
        <v>144</v>
      </c>
      <c r="B135" s="36">
        <v>58</v>
      </c>
      <c r="C135" s="36">
        <v>66</v>
      </c>
      <c r="D135" s="36">
        <v>18</v>
      </c>
      <c r="E135" s="36">
        <v>68</v>
      </c>
      <c r="F135" s="36">
        <v>56</v>
      </c>
      <c r="G135" s="36">
        <v>102</v>
      </c>
      <c r="H135" s="36">
        <v>34</v>
      </c>
      <c r="I135" s="36">
        <v>96</v>
      </c>
      <c r="J135" s="36">
        <v>0.25</v>
      </c>
    </row>
    <row r="136" spans="1:10" x14ac:dyDescent="0.25">
      <c r="A136" s="36">
        <v>145</v>
      </c>
      <c r="B136" s="36">
        <v>58</v>
      </c>
      <c r="C136" s="36">
        <v>66</v>
      </c>
      <c r="D136" s="36">
        <v>18</v>
      </c>
      <c r="E136" s="36">
        <v>68</v>
      </c>
      <c r="F136" s="36">
        <v>56</v>
      </c>
      <c r="G136" s="36">
        <v>102</v>
      </c>
      <c r="H136" s="36">
        <v>34</v>
      </c>
      <c r="I136" s="36">
        <v>96</v>
      </c>
      <c r="J136" s="36">
        <v>0.25</v>
      </c>
    </row>
    <row r="137" spans="1:10" x14ac:dyDescent="0.25">
      <c r="A137" s="36">
        <v>146</v>
      </c>
      <c r="B137" s="36">
        <v>58</v>
      </c>
      <c r="C137" s="36">
        <v>66</v>
      </c>
      <c r="D137" s="36">
        <v>18</v>
      </c>
      <c r="E137" s="36">
        <v>68</v>
      </c>
      <c r="F137" s="36">
        <v>56</v>
      </c>
      <c r="G137" s="36">
        <v>102</v>
      </c>
      <c r="H137" s="36">
        <v>34</v>
      </c>
      <c r="I137" s="36">
        <v>96</v>
      </c>
      <c r="J137" s="36">
        <v>0.25</v>
      </c>
    </row>
    <row r="138" spans="1:10" x14ac:dyDescent="0.25">
      <c r="A138" s="36">
        <v>147</v>
      </c>
      <c r="B138" s="36">
        <v>58</v>
      </c>
      <c r="C138" s="36">
        <v>66</v>
      </c>
      <c r="D138" s="36">
        <v>18</v>
      </c>
      <c r="E138" s="36">
        <v>68</v>
      </c>
      <c r="F138" s="36">
        <v>56</v>
      </c>
      <c r="G138" s="36">
        <v>102</v>
      </c>
      <c r="H138" s="36">
        <v>34</v>
      </c>
      <c r="I138" s="36">
        <v>96</v>
      </c>
      <c r="J138" s="36">
        <v>0.25</v>
      </c>
    </row>
    <row r="139" spans="1:10" x14ac:dyDescent="0.25">
      <c r="A139" s="36">
        <v>148</v>
      </c>
      <c r="B139" s="36">
        <v>58</v>
      </c>
      <c r="C139" s="36">
        <v>66</v>
      </c>
      <c r="D139" s="36">
        <v>18</v>
      </c>
      <c r="E139" s="36">
        <v>68</v>
      </c>
      <c r="F139" s="36">
        <v>56</v>
      </c>
      <c r="G139" s="36">
        <v>102</v>
      </c>
      <c r="H139" s="36">
        <v>34</v>
      </c>
      <c r="I139" s="36">
        <v>96</v>
      </c>
      <c r="J139" s="36">
        <v>0.25</v>
      </c>
    </row>
    <row r="140" spans="1:10" x14ac:dyDescent="0.25">
      <c r="A140" s="36">
        <v>149</v>
      </c>
      <c r="B140" s="36">
        <v>58</v>
      </c>
      <c r="C140" s="36">
        <v>66</v>
      </c>
      <c r="D140" s="36">
        <v>18</v>
      </c>
      <c r="E140" s="36">
        <v>68</v>
      </c>
      <c r="F140" s="36">
        <v>56</v>
      </c>
      <c r="G140" s="36">
        <v>102</v>
      </c>
      <c r="H140" s="36">
        <v>34</v>
      </c>
      <c r="I140" s="36">
        <v>96</v>
      </c>
      <c r="J140" s="36">
        <v>0.25</v>
      </c>
    </row>
    <row r="141" spans="1:10" x14ac:dyDescent="0.25">
      <c r="A141" s="36">
        <v>150</v>
      </c>
      <c r="B141" s="36">
        <v>58</v>
      </c>
      <c r="C141" s="36">
        <v>66</v>
      </c>
      <c r="D141" s="36">
        <v>18</v>
      </c>
      <c r="E141" s="36">
        <v>68</v>
      </c>
      <c r="F141" s="36">
        <v>56</v>
      </c>
      <c r="G141" s="36">
        <v>102</v>
      </c>
      <c r="H141" s="36">
        <v>34</v>
      </c>
      <c r="I141" s="36">
        <v>96</v>
      </c>
      <c r="J141" s="36">
        <v>0.25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Intruction</vt:lpstr>
      <vt:lpstr>Imperial - ME</vt:lpstr>
      <vt:lpstr>AA ratios - Imperial</vt:lpstr>
      <vt:lpstr>Metric - ME</vt:lpstr>
      <vt:lpstr>AA ratios - Metric</vt:lpstr>
      <vt:lpstr>Intruction!Print_Area</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mgoncalves</dc:creator>
  <cp:lastModifiedBy>Ning Lu</cp:lastModifiedBy>
  <cp:lastPrinted>2019-01-01T10:17:16Z</cp:lastPrinted>
  <dcterms:created xsi:type="dcterms:W3CDTF">2016-02-24T09:53:59Z</dcterms:created>
  <dcterms:modified xsi:type="dcterms:W3CDTF">2021-04-29T15:54:15Z</dcterms:modified>
</cp:coreProperties>
</file>