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Users\rnavales\Dropbox\Material PIC\Tools\PIC Feeding levels for Maternal and Sireline Females\"/>
    </mc:Choice>
  </mc:AlternateContent>
  <xr:revisionPtr revIDLastSave="0" documentId="13_ncr:1_{FEA52ED5-A3DB-4DF8-93D1-890C782850A6}" xr6:coauthVersionLast="45" xr6:coauthVersionMax="45" xr10:uidLastSave="{00000000-0000-0000-0000-000000000000}"/>
  <workbookProtection workbookAlgorithmName="SHA-512" workbookHashValue="hRKC/sTiMXdr99h8PyNSj6W/3lKvvIYR0B6DKpPbgyH4QIh5uux6lwrRgdQPVV/UaemDv+TdyOt11ZPhlS15ww==" workbookSaltValue="FX2aEuOcY/eFOBhnn3jlKg==" workbookSpinCount="100000" lockStructure="1"/>
  <bookViews>
    <workbookView xWindow="-108" yWindow="-108" windowWidth="23256" windowHeight="12576" tabRatio="864" activeTab="1" xr2:uid="{00000000-000D-0000-FFFF-FFFF00000000}"/>
  </bookViews>
  <sheets>
    <sheet name="Instruction" sheetId="16" r:id="rId1"/>
    <sheet name="Maternal lines" sheetId="2" r:id="rId2"/>
    <sheet name="FFM" sheetId="15" state="hidden" r:id="rId3"/>
    <sheet name="Terminal lines" sheetId="5" state="hidden" r:id="rId4"/>
    <sheet name="I. Herd Sire (metric)" sheetId="11" state="hidden" r:id="rId5"/>
    <sheet name="FFS" sheetId="13" state="hidden" r:id="rId6"/>
    <sheet name="II. Herd Maternal (metric)" sheetId="4" state="hidden" r:id="rId7"/>
  </sheets>
  <definedNames>
    <definedName name="ID" localSheetId="2" hidden="1">"d4e32770-1a40-4b85-9591-251e2159c62d"</definedName>
    <definedName name="ID" localSheetId="5" hidden="1">"01526336-6ed5-4206-9f44-069073a7dea5"</definedName>
    <definedName name="ID" localSheetId="4" hidden="1">"2db9b459-94c6-484f-9c3e-3bc8c5edc475"</definedName>
    <definedName name="ID" localSheetId="6" hidden="1">"436e83d5-8d46-4d5b-a2e9-1bf0fbcdb76c"</definedName>
    <definedName name="ID" localSheetId="0" hidden="1">"2239f8ac-7138-4b5a-a0fc-2ae1b6222ae8"</definedName>
    <definedName name="ID" localSheetId="1" hidden="1">"578f3aab-4c2a-491f-bb1a-87e0a03f7ed4"</definedName>
    <definedName name="ID" localSheetId="3" hidden="1">"2bd7b729-78a6-449a-98c7-6f5ca0ddcccf"</definedName>
    <definedName name="_xlnm.Print_Area" localSheetId="0">Instruction!$A$1:$P$51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 l="1"/>
  <c r="C7" i="5" l="1"/>
  <c r="B5" i="13"/>
  <c r="D7" i="13"/>
  <c r="AI7" i="15"/>
  <c r="AE5" i="15"/>
  <c r="AC5" i="15"/>
  <c r="B5" i="15" l="1"/>
  <c r="N6" i="15"/>
  <c r="AD5" i="15" s="1"/>
  <c r="D7" i="15"/>
  <c r="A5" i="13"/>
  <c r="A5" i="15"/>
  <c r="X9" i="13" l="1"/>
  <c r="V9" i="13" s="1"/>
  <c r="B52" i="5" s="1"/>
  <c r="X8" i="13"/>
  <c r="C51" i="5" s="1"/>
  <c r="C50" i="5"/>
  <c r="X8" i="15"/>
  <c r="C54" i="2"/>
  <c r="X9" i="15"/>
  <c r="C55" i="2" s="1"/>
  <c r="C53" i="2"/>
  <c r="W9" i="15"/>
  <c r="W8" i="15"/>
  <c r="W7" i="15"/>
  <c r="B53" i="2" s="1"/>
  <c r="V7" i="15"/>
  <c r="W9" i="13"/>
  <c r="C52" i="5"/>
  <c r="V8" i="15"/>
  <c r="B54" i="2" s="1"/>
  <c r="D13" i="5"/>
  <c r="L8" i="15"/>
  <c r="AB7" i="15" s="1"/>
  <c r="L10" i="15"/>
  <c r="L12" i="15"/>
  <c r="L14" i="15"/>
  <c r="L16" i="15"/>
  <c r="AB15" i="15" s="1"/>
  <c r="L18" i="15"/>
  <c r="L20" i="15"/>
  <c r="L22" i="15"/>
  <c r="L24" i="15"/>
  <c r="L26" i="15"/>
  <c r="AB25" i="15" s="1"/>
  <c r="L28" i="15"/>
  <c r="L30" i="15"/>
  <c r="L32" i="15"/>
  <c r="L34" i="15"/>
  <c r="AB33" i="15" s="1"/>
  <c r="L36" i="15"/>
  <c r="L38" i="15"/>
  <c r="L40" i="15"/>
  <c r="AB39" i="15" s="1"/>
  <c r="L42" i="15"/>
  <c r="L44" i="15"/>
  <c r="AB43" i="15" s="1"/>
  <c r="L46" i="15"/>
  <c r="L48" i="15"/>
  <c r="AB47" i="15" s="1"/>
  <c r="L50" i="15"/>
  <c r="L52" i="15"/>
  <c r="L54" i="15"/>
  <c r="L56" i="15"/>
  <c r="AB55" i="15" s="1"/>
  <c r="L58" i="15"/>
  <c r="AB57" i="15" s="1"/>
  <c r="L6" i="15"/>
  <c r="AB5" i="15" s="1"/>
  <c r="C62" i="2"/>
  <c r="C59" i="5"/>
  <c r="O6" i="13"/>
  <c r="N6" i="13" s="1"/>
  <c r="L58" i="13"/>
  <c r="L56" i="13"/>
  <c r="AB55" i="13" s="1"/>
  <c r="L54" i="13"/>
  <c r="AB53" i="13" s="1"/>
  <c r="L52" i="13"/>
  <c r="AB51" i="13" s="1"/>
  <c r="L50" i="13"/>
  <c r="AB49" i="13" s="1"/>
  <c r="L48" i="13"/>
  <c r="AB47" i="13" s="1"/>
  <c r="L46" i="13"/>
  <c r="AB45" i="13" s="1"/>
  <c r="L44" i="13"/>
  <c r="AB43" i="13" s="1"/>
  <c r="L42" i="13"/>
  <c r="AB41" i="13" s="1"/>
  <c r="L40" i="13"/>
  <c r="AB39" i="13" s="1"/>
  <c r="L38" i="13"/>
  <c r="AB37" i="13" s="1"/>
  <c r="L36" i="13"/>
  <c r="AB35" i="13" s="1"/>
  <c r="L34" i="13"/>
  <c r="AB33" i="13" s="1"/>
  <c r="L32" i="13"/>
  <c r="AB31" i="13" s="1"/>
  <c r="L30" i="13"/>
  <c r="AB29" i="13" s="1"/>
  <c r="L28" i="13"/>
  <c r="L26" i="13"/>
  <c r="L24" i="13"/>
  <c r="L22" i="13"/>
  <c r="L20" i="13"/>
  <c r="L18" i="13"/>
  <c r="L16" i="13"/>
  <c r="L14" i="13"/>
  <c r="L12" i="13"/>
  <c r="L10" i="13"/>
  <c r="AB9" i="13" s="1"/>
  <c r="L8" i="13"/>
  <c r="L6" i="13"/>
  <c r="AC57" i="15"/>
  <c r="M57" i="15"/>
  <c r="L57" i="15" s="1"/>
  <c r="AB56" i="15" s="1"/>
  <c r="AC55" i="15"/>
  <c r="M55" i="15"/>
  <c r="AC53" i="15"/>
  <c r="AB53" i="15"/>
  <c r="M53" i="15"/>
  <c r="L53" i="15" s="1"/>
  <c r="AB52" i="15" s="1"/>
  <c r="AC51" i="15"/>
  <c r="AB51" i="15"/>
  <c r="M51" i="15"/>
  <c r="L51" i="15" s="1"/>
  <c r="AB50" i="15" s="1"/>
  <c r="AC49" i="15"/>
  <c r="AB49" i="15"/>
  <c r="M49" i="15"/>
  <c r="AC48" i="15" s="1"/>
  <c r="AC47" i="15"/>
  <c r="M47" i="15"/>
  <c r="L47" i="15" s="1"/>
  <c r="AB46" i="15" s="1"/>
  <c r="AC45" i="15"/>
  <c r="AB45" i="15"/>
  <c r="M45" i="15"/>
  <c r="L45" i="15" s="1"/>
  <c r="AC43" i="15"/>
  <c r="M43" i="15"/>
  <c r="L43" i="15" s="1"/>
  <c r="AB42" i="15" s="1"/>
  <c r="AB41" i="15"/>
  <c r="AC41" i="15"/>
  <c r="M41" i="15"/>
  <c r="L41" i="15" s="1"/>
  <c r="AB40" i="15" s="1"/>
  <c r="AC39" i="15"/>
  <c r="M39" i="15"/>
  <c r="L39" i="15" s="1"/>
  <c r="AB38" i="15" s="1"/>
  <c r="AB37" i="15"/>
  <c r="AC37" i="15"/>
  <c r="M37" i="15"/>
  <c r="AC36" i="15" s="1"/>
  <c r="AB35" i="15"/>
  <c r="AC35" i="15"/>
  <c r="M35" i="15"/>
  <c r="L35" i="15" s="1"/>
  <c r="AB34" i="15" s="1"/>
  <c r="AC33" i="15"/>
  <c r="M33" i="15"/>
  <c r="AC32" i="15" s="1"/>
  <c r="AB31" i="15"/>
  <c r="AC31" i="15"/>
  <c r="M31" i="15"/>
  <c r="L31" i="15" s="1"/>
  <c r="AB30" i="15" s="1"/>
  <c r="AB29" i="15"/>
  <c r="G30" i="15"/>
  <c r="D30" i="15"/>
  <c r="AC29" i="15"/>
  <c r="M29" i="15"/>
  <c r="L29" i="15" s="1"/>
  <c r="AB28" i="15" s="1"/>
  <c r="G29" i="15"/>
  <c r="D29" i="15"/>
  <c r="AB27" i="15"/>
  <c r="G28" i="15"/>
  <c r="D28" i="15"/>
  <c r="AC27" i="15"/>
  <c r="M27" i="15"/>
  <c r="G27" i="15"/>
  <c r="D27" i="15"/>
  <c r="G26" i="15"/>
  <c r="D26" i="15"/>
  <c r="AC25" i="15"/>
  <c r="M25" i="15"/>
  <c r="L25" i="15" s="1"/>
  <c r="AB24" i="15" s="1"/>
  <c r="G25" i="15"/>
  <c r="D25" i="15"/>
  <c r="G24" i="15"/>
  <c r="D24" i="15"/>
  <c r="AC23" i="15"/>
  <c r="AB23" i="15"/>
  <c r="M23" i="15"/>
  <c r="L23" i="15" s="1"/>
  <c r="AB22" i="15" s="1"/>
  <c r="G23" i="15"/>
  <c r="D23" i="15"/>
  <c r="AC22" i="15"/>
  <c r="AB21" i="15"/>
  <c r="G22" i="15"/>
  <c r="D22" i="15"/>
  <c r="AC21" i="15"/>
  <c r="M21" i="15"/>
  <c r="L21" i="15" s="1"/>
  <c r="AB20" i="15" s="1"/>
  <c r="G21" i="15"/>
  <c r="D21" i="15"/>
  <c r="AC20" i="15"/>
  <c r="G20" i="15"/>
  <c r="D20" i="15"/>
  <c r="AC19" i="15"/>
  <c r="AB19" i="15"/>
  <c r="M19" i="15"/>
  <c r="L19" i="15" s="1"/>
  <c r="AB18" i="15" s="1"/>
  <c r="G19" i="15"/>
  <c r="D19" i="15"/>
  <c r="G18" i="15"/>
  <c r="D18" i="15"/>
  <c r="AC17" i="15"/>
  <c r="AB17" i="15"/>
  <c r="M17" i="15"/>
  <c r="L17" i="15" s="1"/>
  <c r="AB16" i="15" s="1"/>
  <c r="G17" i="15"/>
  <c r="D17" i="15"/>
  <c r="G16" i="15"/>
  <c r="D16" i="15"/>
  <c r="AC15" i="15"/>
  <c r="M15" i="15"/>
  <c r="L15" i="15" s="1"/>
  <c r="AB14" i="15" s="1"/>
  <c r="G15" i="15"/>
  <c r="D15" i="15"/>
  <c r="AB13" i="15"/>
  <c r="G14" i="15"/>
  <c r="D14" i="15"/>
  <c r="AC13" i="15"/>
  <c r="M13" i="15"/>
  <c r="L13" i="15" s="1"/>
  <c r="AB12" i="15" s="1"/>
  <c r="AC12" i="15"/>
  <c r="G13" i="15"/>
  <c r="D13" i="15"/>
  <c r="AI12" i="15"/>
  <c r="AG12" i="15" s="1"/>
  <c r="G12" i="15"/>
  <c r="D12" i="15"/>
  <c r="AI11" i="15"/>
  <c r="AC11" i="15"/>
  <c r="AB11" i="15"/>
  <c r="M11" i="15"/>
  <c r="L11" i="15" s="1"/>
  <c r="AB10" i="15" s="1"/>
  <c r="G11" i="15"/>
  <c r="D11" i="15"/>
  <c r="AI10" i="15"/>
  <c r="AC10" i="15"/>
  <c r="G10" i="15"/>
  <c r="D10" i="15"/>
  <c r="AI9" i="15"/>
  <c r="AC9" i="15"/>
  <c r="AB9" i="15"/>
  <c r="M9" i="15"/>
  <c r="G9" i="15"/>
  <c r="D9" i="15"/>
  <c r="B9" i="15"/>
  <c r="AI8" i="15"/>
  <c r="G8" i="15"/>
  <c r="D8" i="15"/>
  <c r="AC7" i="15"/>
  <c r="O7" i="15"/>
  <c r="O8" i="15" s="1"/>
  <c r="M7" i="15"/>
  <c r="L7" i="15" s="1"/>
  <c r="AB6" i="15" s="1"/>
  <c r="G7" i="15"/>
  <c r="AI6" i="15"/>
  <c r="AC6" i="15"/>
  <c r="O10" i="4"/>
  <c r="O11" i="4"/>
  <c r="O12" i="4"/>
  <c r="O13" i="4"/>
  <c r="O14" i="4"/>
  <c r="O9" i="4"/>
  <c r="C46" i="2"/>
  <c r="D8" i="4" s="1"/>
  <c r="N7" i="15"/>
  <c r="AD6" i="15" s="1"/>
  <c r="Q8" i="15"/>
  <c r="AC28" i="15"/>
  <c r="AC38" i="15"/>
  <c r="AC42" i="15"/>
  <c r="AC30" i="15"/>
  <c r="AG7" i="15" s="1"/>
  <c r="AC34" i="15"/>
  <c r="AG10" i="15"/>
  <c r="AC40" i="15"/>
  <c r="AC16" i="15"/>
  <c r="AE6" i="15"/>
  <c r="AC44" i="15"/>
  <c r="AC52" i="15"/>
  <c r="AE7" i="15"/>
  <c r="B9" i="13"/>
  <c r="C12" i="5"/>
  <c r="C43" i="5"/>
  <c r="D8" i="11" s="1"/>
  <c r="O10" i="11"/>
  <c r="O11" i="11"/>
  <c r="O12" i="11"/>
  <c r="O13" i="11"/>
  <c r="O14" i="11"/>
  <c r="O9" i="11"/>
  <c r="AC57" i="13"/>
  <c r="AB57" i="13"/>
  <c r="M57" i="13"/>
  <c r="AC56" i="13" s="1"/>
  <c r="AC55" i="13"/>
  <c r="M55" i="13"/>
  <c r="L55" i="13" s="1"/>
  <c r="AB54" i="13" s="1"/>
  <c r="AC53" i="13"/>
  <c r="M53" i="13"/>
  <c r="L53" i="13" s="1"/>
  <c r="AB52" i="13" s="1"/>
  <c r="AC51" i="13"/>
  <c r="M51" i="13"/>
  <c r="L51" i="13" s="1"/>
  <c r="AC50" i="13"/>
  <c r="AC49" i="13"/>
  <c r="M49" i="13"/>
  <c r="AC47" i="13"/>
  <c r="M47" i="13"/>
  <c r="L47" i="13" s="1"/>
  <c r="AC45" i="13"/>
  <c r="M45" i="13"/>
  <c r="L45" i="13" s="1"/>
  <c r="AB44" i="13" s="1"/>
  <c r="AC43" i="13"/>
  <c r="M43" i="13"/>
  <c r="L43" i="13" s="1"/>
  <c r="AC41" i="13"/>
  <c r="M41" i="13"/>
  <c r="AC39" i="13"/>
  <c r="M39" i="13"/>
  <c r="L39" i="13" s="1"/>
  <c r="AB38" i="13" s="1"/>
  <c r="AC38" i="13"/>
  <c r="AC37" i="13"/>
  <c r="M37" i="13"/>
  <c r="L37" i="13" s="1"/>
  <c r="AB36" i="13" s="1"/>
  <c r="AC35" i="13"/>
  <c r="M35" i="13"/>
  <c r="L35" i="13" s="1"/>
  <c r="AC34" i="13"/>
  <c r="AC33" i="13"/>
  <c r="M33" i="13"/>
  <c r="AC31" i="13"/>
  <c r="M31" i="13"/>
  <c r="L31" i="13" s="1"/>
  <c r="AC29" i="13"/>
  <c r="M29" i="13"/>
  <c r="L29" i="13" s="1"/>
  <c r="AB28" i="13" s="1"/>
  <c r="G30" i="13"/>
  <c r="D30" i="13"/>
  <c r="AC27" i="13"/>
  <c r="AB27" i="13"/>
  <c r="G29" i="13"/>
  <c r="D29" i="13"/>
  <c r="M27" i="13"/>
  <c r="L27" i="13" s="1"/>
  <c r="G28" i="13"/>
  <c r="D28" i="13"/>
  <c r="AC25" i="13"/>
  <c r="AB25" i="13"/>
  <c r="G27" i="13"/>
  <c r="D27" i="13"/>
  <c r="M25" i="13"/>
  <c r="L25" i="13" s="1"/>
  <c r="Q7" i="13" s="1"/>
  <c r="G26" i="13"/>
  <c r="D26" i="13"/>
  <c r="AC23" i="13"/>
  <c r="AB23" i="13"/>
  <c r="G25" i="13"/>
  <c r="D25" i="13"/>
  <c r="M23" i="13"/>
  <c r="L23" i="13" s="1"/>
  <c r="AB22" i="13" s="1"/>
  <c r="G24" i="13"/>
  <c r="D24" i="13"/>
  <c r="AC21" i="13"/>
  <c r="AB21" i="13"/>
  <c r="G23" i="13"/>
  <c r="D23" i="13"/>
  <c r="M21" i="13"/>
  <c r="L21" i="13" s="1"/>
  <c r="AB20" i="13" s="1"/>
  <c r="G22" i="13"/>
  <c r="D22" i="13"/>
  <c r="AC19" i="13"/>
  <c r="AB19" i="13"/>
  <c r="G21" i="13"/>
  <c r="D21" i="13"/>
  <c r="M19" i="13"/>
  <c r="L19" i="13" s="1"/>
  <c r="G20" i="13"/>
  <c r="D20" i="13"/>
  <c r="AC17" i="13"/>
  <c r="AB17" i="13"/>
  <c r="G19" i="13"/>
  <c r="D19" i="13"/>
  <c r="M17" i="13"/>
  <c r="L17" i="13" s="1"/>
  <c r="G18" i="13"/>
  <c r="D18" i="13"/>
  <c r="AC15" i="13"/>
  <c r="AB15" i="13"/>
  <c r="G17" i="13"/>
  <c r="D17" i="13"/>
  <c r="M15" i="13"/>
  <c r="L15" i="13" s="1"/>
  <c r="G16" i="13"/>
  <c r="D16" i="13"/>
  <c r="AC13" i="13"/>
  <c r="AB13" i="13"/>
  <c r="G15" i="13"/>
  <c r="D15" i="13"/>
  <c r="M13" i="13"/>
  <c r="AI12" i="13"/>
  <c r="G14" i="13"/>
  <c r="D14" i="13"/>
  <c r="AC11" i="13"/>
  <c r="AB11" i="13"/>
  <c r="AI11" i="13"/>
  <c r="G13" i="13"/>
  <c r="D13" i="13"/>
  <c r="M11" i="13"/>
  <c r="L11" i="13" s="1"/>
  <c r="AI10" i="13"/>
  <c r="G12" i="13"/>
  <c r="D12" i="13"/>
  <c r="AC9" i="13"/>
  <c r="AI9" i="13"/>
  <c r="G11" i="13"/>
  <c r="D11" i="13"/>
  <c r="M9" i="13"/>
  <c r="L9" i="13" s="1"/>
  <c r="AB8" i="13" s="1"/>
  <c r="AC8" i="13"/>
  <c r="AI8" i="13"/>
  <c r="G10" i="13"/>
  <c r="D10" i="13"/>
  <c r="AC7" i="13"/>
  <c r="AB7" i="13"/>
  <c r="AI7" i="13"/>
  <c r="G9" i="13"/>
  <c r="D9" i="13"/>
  <c r="O7" i="13"/>
  <c r="N7" i="13" s="1"/>
  <c r="AD6" i="13" s="1"/>
  <c r="M7" i="13"/>
  <c r="AI6" i="13"/>
  <c r="G8" i="13"/>
  <c r="D8" i="13"/>
  <c r="AC5" i="13"/>
  <c r="AD5" i="13"/>
  <c r="AB5" i="13"/>
  <c r="G7" i="13"/>
  <c r="Q17" i="11"/>
  <c r="Q15" i="11" s="1"/>
  <c r="E14" i="11"/>
  <c r="E13" i="11"/>
  <c r="E12" i="11"/>
  <c r="E11" i="11"/>
  <c r="E10" i="11"/>
  <c r="E9" i="11"/>
  <c r="E8" i="11"/>
  <c r="AB24" i="13"/>
  <c r="AB26" i="13"/>
  <c r="AC10" i="13"/>
  <c r="AB10" i="13"/>
  <c r="AC28" i="13"/>
  <c r="AB34" i="13"/>
  <c r="AB42" i="13"/>
  <c r="AB46" i="13"/>
  <c r="Q13" i="13"/>
  <c r="AB16" i="13"/>
  <c r="AB18" i="13"/>
  <c r="Q9" i="13"/>
  <c r="AC20" i="13"/>
  <c r="AC36" i="13"/>
  <c r="AC44" i="13"/>
  <c r="AB50" i="13"/>
  <c r="AB14" i="13"/>
  <c r="AB30" i="13"/>
  <c r="Q12" i="13"/>
  <c r="Q8" i="13"/>
  <c r="B16" i="2"/>
  <c r="D21" i="5"/>
  <c r="D22" i="5" s="1"/>
  <c r="C14" i="5" s="1"/>
  <c r="C21" i="5"/>
  <c r="C22" i="5" s="1"/>
  <c r="D19" i="5"/>
  <c r="D20" i="5" s="1"/>
  <c r="C19" i="5"/>
  <c r="C20" i="5" s="1"/>
  <c r="C13" i="5" s="1"/>
  <c r="D18" i="5"/>
  <c r="C18" i="5"/>
  <c r="B15" i="5"/>
  <c r="Q17" i="4"/>
  <c r="Q15" i="4"/>
  <c r="E14" i="4"/>
  <c r="E13" i="4"/>
  <c r="E12" i="4"/>
  <c r="E11" i="4"/>
  <c r="E10" i="4"/>
  <c r="E9" i="4"/>
  <c r="E8" i="4"/>
  <c r="E15" i="4"/>
  <c r="E24" i="2"/>
  <c r="E25" i="2" s="1"/>
  <c r="D24" i="2"/>
  <c r="D25" i="2" s="1"/>
  <c r="C24" i="2"/>
  <c r="C25" i="2" s="1"/>
  <c r="C22" i="2"/>
  <c r="C23" i="2" s="1"/>
  <c r="C21" i="2"/>
  <c r="C13" i="2" s="1"/>
  <c r="C12" i="2"/>
  <c r="E22" i="2"/>
  <c r="E23" i="2" s="1"/>
  <c r="D22" i="2"/>
  <c r="D23" i="2" s="1"/>
  <c r="E21" i="2"/>
  <c r="D21" i="2"/>
  <c r="C14" i="2" s="1"/>
  <c r="V7" i="13"/>
  <c r="W7" i="13"/>
  <c r="W8" i="13"/>
  <c r="Q13" i="15" l="1"/>
  <c r="Q9" i="15"/>
  <c r="Q10" i="15"/>
  <c r="AB44" i="15"/>
  <c r="Q12" i="15"/>
  <c r="D9" i="4"/>
  <c r="J9" i="4" s="1"/>
  <c r="L57" i="13"/>
  <c r="AB56" i="13" s="1"/>
  <c r="AG12" i="13" s="1"/>
  <c r="AC14" i="13"/>
  <c r="AC16" i="13"/>
  <c r="AC18" i="13"/>
  <c r="AC22" i="13"/>
  <c r="AC24" i="13"/>
  <c r="AC26" i="13"/>
  <c r="AC54" i="13"/>
  <c r="AC46" i="15"/>
  <c r="B50" i="5"/>
  <c r="AC42" i="13"/>
  <c r="AC18" i="15"/>
  <c r="V8" i="13"/>
  <c r="B51" i="5" s="1"/>
  <c r="R15" i="4"/>
  <c r="S15" i="4"/>
  <c r="Q16" i="4" s="1"/>
  <c r="L33" i="13"/>
  <c r="AB32" i="13" s="1"/>
  <c r="AG9" i="13" s="1"/>
  <c r="AC32" i="13"/>
  <c r="R15" i="11"/>
  <c r="AG6" i="13"/>
  <c r="AC30" i="13"/>
  <c r="AG7" i="13" s="1"/>
  <c r="D9" i="11"/>
  <c r="J9" i="11" s="1"/>
  <c r="E15" i="11"/>
  <c r="L7" i="13"/>
  <c r="AB6" i="13" s="1"/>
  <c r="AC6" i="13"/>
  <c r="L49" i="13"/>
  <c r="AB48" i="13" s="1"/>
  <c r="AC48" i="13"/>
  <c r="AC52" i="13"/>
  <c r="O8" i="13"/>
  <c r="AE6" i="13"/>
  <c r="AG8" i="13"/>
  <c r="L13" i="13"/>
  <c r="AB12" i="13" s="1"/>
  <c r="AC12" i="13"/>
  <c r="L41" i="13"/>
  <c r="AC40" i="13"/>
  <c r="AC46" i="13"/>
  <c r="O9" i="15"/>
  <c r="N8" i="15"/>
  <c r="AD7" i="15" s="1"/>
  <c r="AC8" i="15"/>
  <c r="L9" i="15"/>
  <c r="AB8" i="15" s="1"/>
  <c r="L27" i="15"/>
  <c r="AB26" i="15" s="1"/>
  <c r="AG6" i="15" s="1"/>
  <c r="AC26" i="15"/>
  <c r="C15" i="2"/>
  <c r="AC24" i="15"/>
  <c r="AC56" i="15"/>
  <c r="AC14" i="15"/>
  <c r="L55" i="15"/>
  <c r="AB54" i="15" s="1"/>
  <c r="AC54" i="15"/>
  <c r="L49" i="15"/>
  <c r="AB48" i="15" s="1"/>
  <c r="AG11" i="15" s="1"/>
  <c r="L37" i="15"/>
  <c r="AB36" i="15" s="1"/>
  <c r="L33" i="15"/>
  <c r="AB32" i="15" s="1"/>
  <c r="Q7" i="15"/>
  <c r="V9" i="15"/>
  <c r="B55" i="2" s="1"/>
  <c r="AE5" i="13"/>
  <c r="Q11" i="15"/>
  <c r="AC50" i="15"/>
  <c r="C37" i="5"/>
  <c r="C38" i="5"/>
  <c r="C39" i="5" s="1"/>
  <c r="C61" i="5"/>
  <c r="B10" i="13"/>
  <c r="C60" i="5" s="1"/>
  <c r="C64" i="2"/>
  <c r="B10" i="15"/>
  <c r="C63" i="2" s="1"/>
  <c r="D13" i="2"/>
  <c r="C39" i="2" s="1"/>
  <c r="G8" i="4"/>
  <c r="H14" i="4" s="1"/>
  <c r="J8" i="4"/>
  <c r="D10" i="4"/>
  <c r="D43" i="5"/>
  <c r="D14" i="5"/>
  <c r="D15" i="2"/>
  <c r="D5" i="4"/>
  <c r="D46" i="2"/>
  <c r="D14" i="2"/>
  <c r="C67" i="2" s="1"/>
  <c r="D5" i="11"/>
  <c r="C36" i="5"/>
  <c r="C35" i="5"/>
  <c r="D10" i="11"/>
  <c r="G8" i="11"/>
  <c r="J8" i="11"/>
  <c r="H8" i="4" l="1"/>
  <c r="AB40" i="13"/>
  <c r="AG10" i="13" s="1"/>
  <c r="Q11" i="13"/>
  <c r="Q10" i="13"/>
  <c r="S15" i="11"/>
  <c r="Q16" i="11" s="1"/>
  <c r="AE8" i="15"/>
  <c r="N9" i="15"/>
  <c r="AD8" i="15" s="1"/>
  <c r="O10" i="15"/>
  <c r="AE7" i="13"/>
  <c r="N8" i="13"/>
  <c r="AD7" i="13" s="1"/>
  <c r="O9" i="13"/>
  <c r="R16" i="4"/>
  <c r="AG9" i="15"/>
  <c r="AG8" i="15"/>
  <c r="H12" i="4"/>
  <c r="E8" i="13"/>
  <c r="H8" i="13" s="1"/>
  <c r="J8" i="13" s="1"/>
  <c r="E12" i="13"/>
  <c r="H12" i="13" s="1"/>
  <c r="I12" i="13" s="1"/>
  <c r="E16" i="13"/>
  <c r="H16" i="13" s="1"/>
  <c r="I16" i="13" s="1"/>
  <c r="E20" i="13"/>
  <c r="H20" i="13" s="1"/>
  <c r="E24" i="13"/>
  <c r="E28" i="13"/>
  <c r="H28" i="13" s="1"/>
  <c r="J28" i="13" s="1"/>
  <c r="Z9" i="13"/>
  <c r="D52" i="5" s="1"/>
  <c r="E14" i="13"/>
  <c r="H14" i="13" s="1"/>
  <c r="J14" i="13" s="1"/>
  <c r="E22" i="13"/>
  <c r="H22" i="13" s="1"/>
  <c r="J22" i="13" s="1"/>
  <c r="Z7" i="13"/>
  <c r="D50" i="5" s="1"/>
  <c r="E15" i="13"/>
  <c r="H15" i="13" s="1"/>
  <c r="J15" i="13" s="1"/>
  <c r="E23" i="13"/>
  <c r="H23" i="13" s="1"/>
  <c r="E9" i="13"/>
  <c r="H9" i="13" s="1"/>
  <c r="J9" i="13" s="1"/>
  <c r="E13" i="13"/>
  <c r="H13" i="13" s="1"/>
  <c r="E17" i="13"/>
  <c r="H17" i="13" s="1"/>
  <c r="J17" i="13" s="1"/>
  <c r="E21" i="13"/>
  <c r="H21" i="13" s="1"/>
  <c r="J21" i="13" s="1"/>
  <c r="E25" i="13"/>
  <c r="H25" i="13" s="1"/>
  <c r="J25" i="13" s="1"/>
  <c r="E29" i="13"/>
  <c r="H29" i="13" s="1"/>
  <c r="J29" i="13" s="1"/>
  <c r="Z8" i="13"/>
  <c r="D51" i="5" s="1"/>
  <c r="E10" i="13"/>
  <c r="H10" i="13" s="1"/>
  <c r="J10" i="13" s="1"/>
  <c r="E18" i="13"/>
  <c r="E26" i="13"/>
  <c r="H26" i="13" s="1"/>
  <c r="J26" i="13" s="1"/>
  <c r="E30" i="13"/>
  <c r="E11" i="13"/>
  <c r="H11" i="13" s="1"/>
  <c r="J11" i="13" s="1"/>
  <c r="E19" i="13"/>
  <c r="E27" i="13"/>
  <c r="H27" i="13" s="1"/>
  <c r="T12" i="13" s="1"/>
  <c r="AJ11" i="13" s="1"/>
  <c r="E7" i="13"/>
  <c r="H7" i="13" s="1"/>
  <c r="J7" i="13" s="1"/>
  <c r="Z7" i="15"/>
  <c r="D53" i="2" s="1"/>
  <c r="Z9" i="15"/>
  <c r="D55" i="2" s="1"/>
  <c r="Z8" i="15"/>
  <c r="D54" i="2" s="1"/>
  <c r="E10" i="15"/>
  <c r="H10" i="15" s="1"/>
  <c r="J10" i="15" s="1"/>
  <c r="E14" i="15"/>
  <c r="H14" i="15" s="1"/>
  <c r="J14" i="15" s="1"/>
  <c r="E18" i="15"/>
  <c r="H18" i="15" s="1"/>
  <c r="J18" i="15" s="1"/>
  <c r="E22" i="15"/>
  <c r="H22" i="15" s="1"/>
  <c r="J22" i="15" s="1"/>
  <c r="E26" i="15"/>
  <c r="H26" i="15" s="1"/>
  <c r="J26" i="15" s="1"/>
  <c r="E30" i="15"/>
  <c r="H30" i="15" s="1"/>
  <c r="J30" i="15" s="1"/>
  <c r="E11" i="15"/>
  <c r="H11" i="15" s="1"/>
  <c r="J11" i="15" s="1"/>
  <c r="E15" i="15"/>
  <c r="H15" i="15" s="1"/>
  <c r="J15" i="15" s="1"/>
  <c r="E19" i="15"/>
  <c r="H19" i="15" s="1"/>
  <c r="J19" i="15" s="1"/>
  <c r="E23" i="15"/>
  <c r="H23" i="15" s="1"/>
  <c r="J23" i="15" s="1"/>
  <c r="E27" i="15"/>
  <c r="H27" i="15" s="1"/>
  <c r="J27" i="15" s="1"/>
  <c r="E7" i="15"/>
  <c r="H7" i="15" s="1"/>
  <c r="E8" i="15"/>
  <c r="H8" i="15" s="1"/>
  <c r="J8" i="15" s="1"/>
  <c r="E16" i="15"/>
  <c r="H16" i="15" s="1"/>
  <c r="J16" i="15" s="1"/>
  <c r="E20" i="15"/>
  <c r="H20" i="15" s="1"/>
  <c r="J20" i="15" s="1"/>
  <c r="E24" i="15"/>
  <c r="H24" i="15" s="1"/>
  <c r="J24" i="15" s="1"/>
  <c r="E28" i="15"/>
  <c r="H28" i="15" s="1"/>
  <c r="J28" i="15" s="1"/>
  <c r="E9" i="15"/>
  <c r="H9" i="15" s="1"/>
  <c r="E13" i="15"/>
  <c r="H13" i="15" s="1"/>
  <c r="J13" i="15" s="1"/>
  <c r="E17" i="15"/>
  <c r="H17" i="15" s="1"/>
  <c r="J17" i="15" s="1"/>
  <c r="E21" i="15"/>
  <c r="H21" i="15" s="1"/>
  <c r="J21" i="15" s="1"/>
  <c r="E25" i="15"/>
  <c r="H25" i="15" s="1"/>
  <c r="J25" i="15" s="1"/>
  <c r="E29" i="15"/>
  <c r="H29" i="15" s="1"/>
  <c r="J29" i="15" s="1"/>
  <c r="E12" i="15"/>
  <c r="H12" i="15" s="1"/>
  <c r="J12" i="15" s="1"/>
  <c r="H10" i="4"/>
  <c r="H9" i="4"/>
  <c r="D36" i="5"/>
  <c r="H18" i="13"/>
  <c r="I18" i="13" s="1"/>
  <c r="E43" i="5"/>
  <c r="F43" i="5" s="1"/>
  <c r="C73" i="5"/>
  <c r="C75" i="5"/>
  <c r="H24" i="13"/>
  <c r="I24" i="13" s="1"/>
  <c r="C74" i="5"/>
  <c r="D35" i="5"/>
  <c r="C72" i="5"/>
  <c r="H11" i="4"/>
  <c r="H13" i="4"/>
  <c r="K8" i="4"/>
  <c r="C38" i="2"/>
  <c r="C41" i="2"/>
  <c r="C42" i="2" s="1"/>
  <c r="C40" i="2"/>
  <c r="G9" i="4"/>
  <c r="D11" i="4"/>
  <c r="J10" i="4"/>
  <c r="L10" i="4" s="1"/>
  <c r="H30" i="13"/>
  <c r="I30" i="13" s="1"/>
  <c r="B6" i="13"/>
  <c r="B8" i="13" s="1"/>
  <c r="B4" i="13" s="1"/>
  <c r="H19" i="13"/>
  <c r="T8" i="13" s="1"/>
  <c r="AJ7" i="13" s="1"/>
  <c r="D37" i="5"/>
  <c r="B41" i="5"/>
  <c r="D38" i="5"/>
  <c r="D39" i="5" s="1"/>
  <c r="C64" i="5"/>
  <c r="C76" i="2"/>
  <c r="L9" i="4"/>
  <c r="E46" i="2"/>
  <c r="F46" i="2" s="1"/>
  <c r="B6" i="15"/>
  <c r="B8" i="15" s="1"/>
  <c r="B4" i="15" s="1"/>
  <c r="C78" i="2"/>
  <c r="D41" i="2"/>
  <c r="D42" i="2" s="1"/>
  <c r="D38" i="2"/>
  <c r="D39" i="2"/>
  <c r="D40" i="2"/>
  <c r="C77" i="2"/>
  <c r="M8" i="4"/>
  <c r="E13" i="2"/>
  <c r="B44" i="2"/>
  <c r="C75" i="2"/>
  <c r="L8" i="4"/>
  <c r="L9" i="11"/>
  <c r="L8" i="11"/>
  <c r="E38" i="2"/>
  <c r="E39" i="2"/>
  <c r="E40" i="2"/>
  <c r="E41" i="2"/>
  <c r="E42" i="2" s="1"/>
  <c r="D11" i="11"/>
  <c r="J10" i="11"/>
  <c r="L10" i="11" s="1"/>
  <c r="H8" i="11"/>
  <c r="G9" i="11" s="1"/>
  <c r="H12" i="11"/>
  <c r="H13" i="11"/>
  <c r="K8" i="11"/>
  <c r="M8" i="11" s="1"/>
  <c r="H10" i="11"/>
  <c r="H11" i="11"/>
  <c r="H14" i="11"/>
  <c r="H9" i="11"/>
  <c r="R16" i="11" l="1"/>
  <c r="N9" i="13"/>
  <c r="AD8" i="13" s="1"/>
  <c r="O10" i="13"/>
  <c r="AE8" i="13"/>
  <c r="AG11" i="13"/>
  <c r="N10" i="15"/>
  <c r="AD9" i="15" s="1"/>
  <c r="O11" i="15"/>
  <c r="AE9" i="15"/>
  <c r="I25" i="13"/>
  <c r="T11" i="13"/>
  <c r="AJ10" i="13" s="1"/>
  <c r="I8" i="13"/>
  <c r="I28" i="13"/>
  <c r="I22" i="13"/>
  <c r="H15" i="4"/>
  <c r="I29" i="13"/>
  <c r="I26" i="13"/>
  <c r="J20" i="13"/>
  <c r="I20" i="13"/>
  <c r="J23" i="13"/>
  <c r="T10" i="13"/>
  <c r="AJ9" i="13" s="1"/>
  <c r="I23" i="13"/>
  <c r="J13" i="13"/>
  <c r="I13" i="13"/>
  <c r="I19" i="13"/>
  <c r="T13" i="13"/>
  <c r="AJ12" i="13" s="1"/>
  <c r="J27" i="13"/>
  <c r="J18" i="13"/>
  <c r="J16" i="13"/>
  <c r="J19" i="13"/>
  <c r="J12" i="13"/>
  <c r="J30" i="13"/>
  <c r="J24" i="13"/>
  <c r="I9" i="13"/>
  <c r="T7" i="13"/>
  <c r="AJ6" i="13" s="1"/>
  <c r="I17" i="13"/>
  <c r="I7" i="15"/>
  <c r="J7" i="15"/>
  <c r="T6" i="15"/>
  <c r="AJ5" i="15" s="1"/>
  <c r="J9" i="15"/>
  <c r="I27" i="13"/>
  <c r="I7" i="13"/>
  <c r="T6" i="13"/>
  <c r="AJ5" i="13" s="1"/>
  <c r="E15" i="2"/>
  <c r="J11" i="4"/>
  <c r="L11" i="4" s="1"/>
  <c r="D12" i="4"/>
  <c r="G10" i="4"/>
  <c r="K9" i="4"/>
  <c r="M9" i="4" s="1"/>
  <c r="E14" i="2"/>
  <c r="I11" i="13"/>
  <c r="I15" i="13"/>
  <c r="I21" i="13"/>
  <c r="T9" i="13"/>
  <c r="AJ8" i="13" s="1"/>
  <c r="E13" i="5"/>
  <c r="E14" i="5"/>
  <c r="I14" i="13"/>
  <c r="I10" i="13"/>
  <c r="I18" i="15"/>
  <c r="I30" i="15"/>
  <c r="I14" i="15"/>
  <c r="T8" i="15"/>
  <c r="AJ7" i="15" s="1"/>
  <c r="I19" i="15"/>
  <c r="I15" i="15"/>
  <c r="I24" i="15"/>
  <c r="I25" i="15"/>
  <c r="T11" i="15"/>
  <c r="AJ10" i="15" s="1"/>
  <c r="I20" i="15"/>
  <c r="I21" i="15"/>
  <c r="T9" i="15"/>
  <c r="AJ8" i="15" s="1"/>
  <c r="I9" i="15"/>
  <c r="I26" i="15"/>
  <c r="I28" i="15"/>
  <c r="I22" i="15"/>
  <c r="I23" i="15"/>
  <c r="T10" i="15"/>
  <c r="AJ9" i="15" s="1"/>
  <c r="I16" i="15"/>
  <c r="I10" i="15"/>
  <c r="I12" i="15"/>
  <c r="I29" i="15"/>
  <c r="T13" i="15"/>
  <c r="AJ12" i="15" s="1"/>
  <c r="I27" i="15"/>
  <c r="T12" i="15"/>
  <c r="AJ11" i="15" s="1"/>
  <c r="I11" i="15"/>
  <c r="I17" i="15"/>
  <c r="T7" i="15"/>
  <c r="AJ6" i="15" s="1"/>
  <c r="I8" i="15"/>
  <c r="I13" i="15"/>
  <c r="K9" i="11"/>
  <c r="M9" i="11" s="1"/>
  <c r="G10" i="11"/>
  <c r="D12" i="11"/>
  <c r="J11" i="11"/>
  <c r="L11" i="11" s="1"/>
  <c r="H15" i="11"/>
  <c r="O12" i="15" l="1"/>
  <c r="AE10" i="15"/>
  <c r="N11" i="15"/>
  <c r="AD10" i="15" s="1"/>
  <c r="N10" i="13"/>
  <c r="AD9" i="13" s="1"/>
  <c r="O11" i="13"/>
  <c r="AE9" i="13"/>
  <c r="K10" i="4"/>
  <c r="M10" i="4" s="1"/>
  <c r="G11" i="4"/>
  <c r="J12" i="4"/>
  <c r="L12" i="4" s="1"/>
  <c r="D13" i="4"/>
  <c r="K10" i="11"/>
  <c r="M10" i="11" s="1"/>
  <c r="G11" i="11"/>
  <c r="J12" i="11"/>
  <c r="L12" i="11" s="1"/>
  <c r="D13" i="11"/>
  <c r="N11" i="13" l="1"/>
  <c r="AD10" i="13" s="1"/>
  <c r="O12" i="13"/>
  <c r="AE10" i="13"/>
  <c r="N12" i="15"/>
  <c r="AD11" i="15" s="1"/>
  <c r="AE11" i="15"/>
  <c r="O13" i="15"/>
  <c r="D14" i="4"/>
  <c r="J14" i="4" s="1"/>
  <c r="L14" i="4" s="1"/>
  <c r="J13" i="4"/>
  <c r="L13" i="4" s="1"/>
  <c r="G12" i="4"/>
  <c r="K11" i="4"/>
  <c r="M11" i="4" s="1"/>
  <c r="K11" i="11"/>
  <c r="M11" i="11" s="1"/>
  <c r="G12" i="11"/>
  <c r="D14" i="11"/>
  <c r="J13" i="11"/>
  <c r="L13" i="11" s="1"/>
  <c r="N13" i="15" l="1"/>
  <c r="AD12" i="15" s="1"/>
  <c r="O14" i="15"/>
  <c r="AE12" i="15"/>
  <c r="N12" i="13"/>
  <c r="AD11" i="13" s="1"/>
  <c r="AE11" i="13"/>
  <c r="O13" i="13"/>
  <c r="D15" i="4"/>
  <c r="F14" i="4" s="1"/>
  <c r="C48" i="2"/>
  <c r="D48" i="2" s="1"/>
  <c r="E48" i="2" s="1"/>
  <c r="F48" i="2" s="1"/>
  <c r="C47" i="2"/>
  <c r="D47" i="2" s="1"/>
  <c r="E47" i="2" s="1"/>
  <c r="F47" i="2" s="1"/>
  <c r="L15" i="4"/>
  <c r="K12" i="4"/>
  <c r="M12" i="4" s="1"/>
  <c r="G13" i="4"/>
  <c r="J14" i="11"/>
  <c r="L14" i="11" s="1"/>
  <c r="L15" i="11" s="1"/>
  <c r="D15" i="11"/>
  <c r="C45" i="5"/>
  <c r="D45" i="5" s="1"/>
  <c r="E45" i="5" s="1"/>
  <c r="F45" i="5" s="1"/>
  <c r="C44" i="5"/>
  <c r="D44" i="5" s="1"/>
  <c r="E44" i="5" s="1"/>
  <c r="F44" i="5" s="1"/>
  <c r="K12" i="11"/>
  <c r="M12" i="11" s="1"/>
  <c r="G13" i="11"/>
  <c r="F12" i="4" l="1"/>
  <c r="F10" i="4"/>
  <c r="F8" i="4"/>
  <c r="F11" i="4"/>
  <c r="F9" i="4"/>
  <c r="F13" i="4"/>
  <c r="O14" i="13"/>
  <c r="AE12" i="13"/>
  <c r="N13" i="13"/>
  <c r="AD12" i="13" s="1"/>
  <c r="N14" i="15"/>
  <c r="AD13" i="15" s="1"/>
  <c r="O15" i="15"/>
  <c r="AE13" i="15"/>
  <c r="G14" i="4"/>
  <c r="K14" i="4" s="1"/>
  <c r="M14" i="4" s="1"/>
  <c r="K13" i="4"/>
  <c r="M13" i="4" s="1"/>
  <c r="G14" i="11"/>
  <c r="K14" i="11" s="1"/>
  <c r="M14" i="11" s="1"/>
  <c r="K13" i="11"/>
  <c r="M13" i="11" s="1"/>
  <c r="F13" i="11"/>
  <c r="F10" i="11"/>
  <c r="F14" i="11"/>
  <c r="F12" i="11"/>
  <c r="F11" i="11"/>
  <c r="F8" i="11"/>
  <c r="F9" i="11"/>
  <c r="N15" i="15" l="1"/>
  <c r="AD14" i="15" s="1"/>
  <c r="AE14" i="15"/>
  <c r="O16" i="15"/>
  <c r="AE13" i="13"/>
  <c r="N14" i="13"/>
  <c r="AD13" i="13" s="1"/>
  <c r="O15" i="13"/>
  <c r="G15" i="11"/>
  <c r="I12" i="11" s="1"/>
  <c r="G15" i="4"/>
  <c r="I12" i="4" s="1"/>
  <c r="M15" i="4"/>
  <c r="M15" i="11"/>
  <c r="I9" i="11"/>
  <c r="I11" i="11"/>
  <c r="N15" i="13" l="1"/>
  <c r="AD14" i="13" s="1"/>
  <c r="AE14" i="13"/>
  <c r="O16" i="13"/>
  <c r="N16" i="15"/>
  <c r="AD15" i="15" s="1"/>
  <c r="O17" i="15"/>
  <c r="AE15" i="15"/>
  <c r="I14" i="11"/>
  <c r="I13" i="11"/>
  <c r="I10" i="11"/>
  <c r="I8" i="11"/>
  <c r="I13" i="4"/>
  <c r="I8" i="4"/>
  <c r="I11" i="4"/>
  <c r="I10" i="4"/>
  <c r="I14" i="4"/>
  <c r="I9" i="4"/>
  <c r="N17" i="15" l="1"/>
  <c r="AD16" i="15" s="1"/>
  <c r="AE16" i="15"/>
  <c r="O18" i="15"/>
  <c r="N16" i="13"/>
  <c r="AD15" i="13" s="1"/>
  <c r="AE15" i="13"/>
  <c r="O17" i="13"/>
  <c r="N18" i="15" l="1"/>
  <c r="AD17" i="15" s="1"/>
  <c r="O19" i="15"/>
  <c r="AE17" i="15"/>
  <c r="N17" i="13"/>
  <c r="AE16" i="13"/>
  <c r="O18" i="13"/>
  <c r="Q17" i="13" l="1"/>
  <c r="AD16" i="13"/>
  <c r="AE18" i="15"/>
  <c r="N19" i="15"/>
  <c r="AD18" i="15" s="1"/>
  <c r="O20" i="15"/>
  <c r="N18" i="13"/>
  <c r="AD17" i="13" s="1"/>
  <c r="O19" i="13"/>
  <c r="AE17" i="13"/>
  <c r="AE18" i="13" l="1"/>
  <c r="O20" i="13"/>
  <c r="N19" i="13"/>
  <c r="AD18" i="13" s="1"/>
  <c r="O21" i="15"/>
  <c r="AE19" i="15"/>
  <c r="N20" i="15"/>
  <c r="AD19" i="15" s="1"/>
  <c r="AE20" i="15" l="1"/>
  <c r="N21" i="15"/>
  <c r="AD20" i="15" s="1"/>
  <c r="O22" i="15"/>
  <c r="AE19" i="13"/>
  <c r="N20" i="13"/>
  <c r="AD19" i="13" s="1"/>
  <c r="O21" i="13"/>
  <c r="O23" i="15" l="1"/>
  <c r="N22" i="15"/>
  <c r="AD21" i="15" s="1"/>
  <c r="AE21" i="15"/>
  <c r="O22" i="13"/>
  <c r="AE20" i="13"/>
  <c r="N21" i="13"/>
  <c r="AD20" i="13" s="1"/>
  <c r="O23" i="13" l="1"/>
  <c r="N22" i="13"/>
  <c r="AD21" i="13" s="1"/>
  <c r="AE21" i="13"/>
  <c r="N23" i="15"/>
  <c r="AD22" i="15" s="1"/>
  <c r="AE22" i="15"/>
  <c r="O24" i="15"/>
  <c r="N24" i="15" l="1"/>
  <c r="AD23" i="15" s="1"/>
  <c r="AE23" i="15"/>
  <c r="O25" i="15"/>
  <c r="AE22" i="13"/>
  <c r="O24" i="13"/>
  <c r="N23" i="13"/>
  <c r="AD22" i="13" s="1"/>
  <c r="N25" i="15" l="1"/>
  <c r="AD24" i="15" s="1"/>
  <c r="AE24" i="15"/>
  <c r="O26" i="15"/>
  <c r="O25" i="13"/>
  <c r="AE23" i="13"/>
  <c r="N24" i="13"/>
  <c r="AD23" i="13" s="1"/>
  <c r="O26" i="13" l="1"/>
  <c r="AE24" i="13"/>
  <c r="N25" i="13"/>
  <c r="AD24" i="13" s="1"/>
  <c r="O27" i="15"/>
  <c r="AE25" i="15"/>
  <c r="N26" i="15"/>
  <c r="AD25" i="15" s="1"/>
  <c r="N27" i="15" l="1"/>
  <c r="AD26" i="15" s="1"/>
  <c r="AE26" i="15"/>
  <c r="O28" i="15"/>
  <c r="N26" i="13"/>
  <c r="AD25" i="13" s="1"/>
  <c r="AE25" i="13"/>
  <c r="O27" i="13"/>
  <c r="N28" i="15" l="1"/>
  <c r="AD27" i="15" s="1"/>
  <c r="AE27" i="15"/>
  <c r="O29" i="15"/>
  <c r="O28" i="13"/>
  <c r="N27" i="13"/>
  <c r="AD26" i="13" s="1"/>
  <c r="AE26" i="13"/>
  <c r="N28" i="13" l="1"/>
  <c r="AD27" i="13" s="1"/>
  <c r="O29" i="13"/>
  <c r="AE27" i="13"/>
  <c r="O30" i="15"/>
  <c r="AE28" i="15"/>
  <c r="N29" i="15"/>
  <c r="AD28" i="15" s="1"/>
  <c r="O31" i="15" l="1"/>
  <c r="AE29" i="15"/>
  <c r="N30" i="15"/>
  <c r="AD29" i="15" s="1"/>
  <c r="N29" i="13"/>
  <c r="AD28" i="13" s="1"/>
  <c r="O30" i="13"/>
  <c r="AE28" i="13"/>
  <c r="N30" i="13" l="1"/>
  <c r="AD29" i="13" s="1"/>
  <c r="AE29" i="13"/>
  <c r="O31" i="13"/>
  <c r="AE30" i="15"/>
  <c r="O32" i="15"/>
  <c r="N31" i="15"/>
  <c r="AD30" i="15" s="1"/>
  <c r="N32" i="15" l="1"/>
  <c r="AE31" i="15"/>
  <c r="O33" i="15"/>
  <c r="O32" i="13"/>
  <c r="N31" i="13"/>
  <c r="AD30" i="13" s="1"/>
  <c r="AE30" i="13"/>
  <c r="AE31" i="13" l="1"/>
  <c r="N32" i="13"/>
  <c r="O33" i="13"/>
  <c r="N33" i="15"/>
  <c r="AD32" i="15" s="1"/>
  <c r="AE32" i="15"/>
  <c r="O34" i="15"/>
  <c r="R7" i="15"/>
  <c r="AD31" i="15"/>
  <c r="R8" i="15"/>
  <c r="AE32" i="13" l="1"/>
  <c r="O34" i="13"/>
  <c r="N33" i="13"/>
  <c r="AD32" i="13" s="1"/>
  <c r="AH7" i="15"/>
  <c r="AH6" i="15"/>
  <c r="O35" i="15"/>
  <c r="N34" i="15"/>
  <c r="AD33" i="15" s="1"/>
  <c r="AE33" i="15"/>
  <c r="AD31" i="13"/>
  <c r="R8" i="13"/>
  <c r="R7" i="13"/>
  <c r="N35" i="15" l="1"/>
  <c r="AD34" i="15" s="1"/>
  <c r="AE34" i="15"/>
  <c r="O36" i="15"/>
  <c r="AH6" i="13"/>
  <c r="AH7" i="13"/>
  <c r="AE33" i="13"/>
  <c r="N34" i="13"/>
  <c r="AD33" i="13" s="1"/>
  <c r="O35" i="13"/>
  <c r="N36" i="15" l="1"/>
  <c r="AD35" i="15" s="1"/>
  <c r="AE35" i="15"/>
  <c r="O37" i="15"/>
  <c r="N35" i="13"/>
  <c r="AD34" i="13" s="1"/>
  <c r="O36" i="13"/>
  <c r="AE34" i="13"/>
  <c r="AE35" i="13" l="1"/>
  <c r="N36" i="13"/>
  <c r="AD35" i="13" s="1"/>
  <c r="O37" i="13"/>
  <c r="N37" i="15"/>
  <c r="AD36" i="15" s="1"/>
  <c r="AE36" i="15"/>
  <c r="O38" i="15"/>
  <c r="O38" i="13" l="1"/>
  <c r="AE36" i="13"/>
  <c r="N37" i="13"/>
  <c r="AD36" i="13" s="1"/>
  <c r="N38" i="15"/>
  <c r="AD37" i="15" s="1"/>
  <c r="AE37" i="15"/>
  <c r="O39" i="15"/>
  <c r="N39" i="15" l="1"/>
  <c r="AD38" i="15" s="1"/>
  <c r="AE38" i="15"/>
  <c r="O40" i="15"/>
  <c r="N38" i="13"/>
  <c r="AD37" i="13" s="1"/>
  <c r="O39" i="13"/>
  <c r="AE37" i="13"/>
  <c r="AE38" i="13" l="1"/>
  <c r="N39" i="13"/>
  <c r="AD38" i="13" s="1"/>
  <c r="O40" i="13"/>
  <c r="N40" i="15"/>
  <c r="AD39" i="15" s="1"/>
  <c r="O41" i="15"/>
  <c r="AE39" i="15"/>
  <c r="N40" i="13" l="1"/>
  <c r="AD39" i="13" s="1"/>
  <c r="AE39" i="13"/>
  <c r="O41" i="13"/>
  <c r="AE40" i="15"/>
  <c r="N41" i="15"/>
  <c r="AD40" i="15" s="1"/>
  <c r="O42" i="15"/>
  <c r="AE40" i="13" l="1"/>
  <c r="O42" i="13"/>
  <c r="N41" i="13"/>
  <c r="AD40" i="13" s="1"/>
  <c r="AE41" i="15"/>
  <c r="O43" i="15"/>
  <c r="N42" i="15"/>
  <c r="AD41" i="15" s="1"/>
  <c r="O43" i="13" l="1"/>
  <c r="N42" i="13"/>
  <c r="AD41" i="13" s="1"/>
  <c r="AE41" i="13"/>
  <c r="O44" i="15"/>
  <c r="N43" i="15"/>
  <c r="AD42" i="15" s="1"/>
  <c r="AE42" i="15"/>
  <c r="O45" i="15" l="1"/>
  <c r="N44" i="15"/>
  <c r="AD43" i="15" s="1"/>
  <c r="AE43" i="15"/>
  <c r="AE42" i="13"/>
  <c r="O44" i="13"/>
  <c r="N43" i="13"/>
  <c r="AD42" i="13" s="1"/>
  <c r="O45" i="13" l="1"/>
  <c r="N44" i="13"/>
  <c r="AD43" i="13" s="1"/>
  <c r="AE43" i="13"/>
  <c r="O46" i="15"/>
  <c r="N45" i="15"/>
  <c r="AE44" i="15"/>
  <c r="O47" i="15" l="1"/>
  <c r="N46" i="15"/>
  <c r="AD45" i="15" s="1"/>
  <c r="AE45" i="15"/>
  <c r="AD44" i="15"/>
  <c r="R10" i="15"/>
  <c r="R11" i="15"/>
  <c r="R9" i="15"/>
  <c r="O46" i="13"/>
  <c r="N45" i="13"/>
  <c r="AE44" i="13"/>
  <c r="AH10" i="15" l="1"/>
  <c r="AH9" i="15"/>
  <c r="AH8" i="15"/>
  <c r="AD44" i="13"/>
  <c r="R11" i="13"/>
  <c r="R9" i="13"/>
  <c r="R10" i="13"/>
  <c r="O47" i="13"/>
  <c r="AE45" i="13"/>
  <c r="N46" i="13"/>
  <c r="AD45" i="13" s="1"/>
  <c r="O48" i="15"/>
  <c r="N47" i="15"/>
  <c r="AD46" i="15" s="1"/>
  <c r="AE46" i="15"/>
  <c r="O48" i="13" l="1"/>
  <c r="AE46" i="13"/>
  <c r="N47" i="13"/>
  <c r="AD46" i="13" s="1"/>
  <c r="N48" i="15"/>
  <c r="AD47" i="15" s="1"/>
  <c r="AE47" i="15"/>
  <c r="O49" i="15"/>
  <c r="AH9" i="13"/>
  <c r="AH10" i="13"/>
  <c r="AH8" i="13"/>
  <c r="N49" i="15" l="1"/>
  <c r="AD48" i="15" s="1"/>
  <c r="AE48" i="15"/>
  <c r="O50" i="15"/>
  <c r="O49" i="13"/>
  <c r="N48" i="13"/>
  <c r="AD47" i="13" s="1"/>
  <c r="AE47" i="13"/>
  <c r="O50" i="13" l="1"/>
  <c r="N49" i="13"/>
  <c r="AD48" i="13" s="1"/>
  <c r="AE48" i="13"/>
  <c r="AE49" i="15"/>
  <c r="O51" i="15"/>
  <c r="N50" i="15"/>
  <c r="AD49" i="15" s="1"/>
  <c r="AE50" i="15" l="1"/>
  <c r="N51" i="15"/>
  <c r="AD50" i="15" s="1"/>
  <c r="O52" i="15"/>
  <c r="O51" i="13"/>
  <c r="N50" i="13"/>
  <c r="AD49" i="13" s="1"/>
  <c r="AE49" i="13"/>
  <c r="AE50" i="13" l="1"/>
  <c r="O52" i="13"/>
  <c r="N51" i="13"/>
  <c r="AD50" i="13" s="1"/>
  <c r="O53" i="15"/>
  <c r="AE51" i="15"/>
  <c r="N52" i="15"/>
  <c r="AE52" i="15" l="1"/>
  <c r="O54" i="15"/>
  <c r="N53" i="15"/>
  <c r="AD52" i="15" s="1"/>
  <c r="AD51" i="15"/>
  <c r="R13" i="15"/>
  <c r="R12" i="15"/>
  <c r="O53" i="13"/>
  <c r="AE51" i="13"/>
  <c r="N52" i="13"/>
  <c r="AH12" i="15" l="1"/>
  <c r="AH11" i="15"/>
  <c r="AD51" i="13"/>
  <c r="R12" i="13"/>
  <c r="R13" i="13"/>
  <c r="O54" i="13"/>
  <c r="N53" i="13"/>
  <c r="AD52" i="13" s="1"/>
  <c r="AE52" i="13"/>
  <c r="AE53" i="15"/>
  <c r="O55" i="15"/>
  <c r="N54" i="15"/>
  <c r="AD53" i="15" s="1"/>
  <c r="AH11" i="13" l="1"/>
  <c r="AH12" i="13"/>
  <c r="AE54" i="15"/>
  <c r="O56" i="15"/>
  <c r="N55" i="15"/>
  <c r="AD54" i="15" s="1"/>
  <c r="N54" i="13"/>
  <c r="AD53" i="13" s="1"/>
  <c r="AE53" i="13"/>
  <c r="O55" i="13"/>
  <c r="O57" i="15" l="1"/>
  <c r="N56" i="15"/>
  <c r="AD55" i="15" s="1"/>
  <c r="AE55" i="15"/>
  <c r="N55" i="13"/>
  <c r="AD54" i="13" s="1"/>
  <c r="AE54" i="13"/>
  <c r="O56" i="13"/>
  <c r="O57" i="13" l="1"/>
  <c r="N56" i="13"/>
  <c r="AD55" i="13" s="1"/>
  <c r="AE55" i="13"/>
  <c r="O58" i="15"/>
  <c r="N57" i="15"/>
  <c r="AD56" i="15" s="1"/>
  <c r="AE56" i="15"/>
  <c r="N58" i="15" l="1"/>
  <c r="AD57" i="15" s="1"/>
  <c r="AE57" i="15"/>
  <c r="N57" i="13"/>
  <c r="AD56" i="13" s="1"/>
  <c r="O58" i="13"/>
  <c r="AE56" i="13"/>
  <c r="AE57" i="13" l="1"/>
  <c r="N58" i="13"/>
  <c r="AD57" i="13" s="1"/>
</calcChain>
</file>

<file path=xl/sharedStrings.xml><?xml version="1.0" encoding="utf-8"?>
<sst xmlns="http://schemas.openxmlformats.org/spreadsheetml/2006/main" count="272" uniqueCount="134">
  <si>
    <t>Daily intake to 100% Maintenance</t>
  </si>
  <si>
    <t>SID Lysine, %</t>
  </si>
  <si>
    <t>Daily SID Lysine intake, g/d</t>
  </si>
  <si>
    <t>1 to 30 days</t>
  </si>
  <si>
    <t>91 to 112 days</t>
  </si>
  <si>
    <t>NORMAL</t>
  </si>
  <si>
    <t>FAT</t>
  </si>
  <si>
    <t>31 to 60 days</t>
  </si>
  <si>
    <t>61 to 90 days</t>
  </si>
  <si>
    <t>Dietary ME, MJ/kg</t>
  </si>
  <si>
    <t>Dietary NE, MJ/kg using low fiber  (&lt;12% NDF)</t>
  </si>
  <si>
    <t>Dietary NE, MJ/kg using high fiber  (&gt;12% NDF)</t>
  </si>
  <si>
    <t>Weight @ breeding, kg</t>
  </si>
  <si>
    <t>Net Energy, using low fiber (&lt;12% NDF), the NE/ME ratio is 76.0%</t>
  </si>
  <si>
    <t>Net Energy, using low fiber (&gt;12% NDF), the NE/ME ratio is 74.5%</t>
  </si>
  <si>
    <t xml:space="preserve">NRC (2012) Equation for Requirement of Maintenence for Gestation Sows </t>
  </si>
  <si>
    <r>
      <t xml:space="preserve">(Kcal ME/day) = 100 Kcal of ME x Body Weight </t>
    </r>
    <r>
      <rPr>
        <vertAlign val="superscript"/>
        <sz val="12"/>
        <rFont val="Verdana"/>
        <family val="2"/>
      </rPr>
      <t>0,75</t>
    </r>
  </si>
  <si>
    <r>
      <t xml:space="preserve">ME </t>
    </r>
    <r>
      <rPr>
        <vertAlign val="subscript"/>
        <sz val="8"/>
        <rFont val="Arial"/>
        <family val="2"/>
      </rPr>
      <t>(Gestation Diet)</t>
    </r>
    <r>
      <rPr>
        <sz val="8"/>
        <rFont val="Arial"/>
        <family val="2"/>
      </rPr>
      <t xml:space="preserve"> Kcal/kg</t>
    </r>
  </si>
  <si>
    <t>Energy intake</t>
  </si>
  <si>
    <t xml:space="preserve">Req. to achieve maint. </t>
  </si>
  <si>
    <t>Parity</t>
  </si>
  <si>
    <t>Herd distribution</t>
  </si>
  <si>
    <t>Body weight (kg) - Normal</t>
  </si>
  <si>
    <t>Gain Normal herd</t>
  </si>
  <si>
    <t>Body weight (kg) - Fat herd</t>
  </si>
  <si>
    <t>Gain Fat herd</t>
  </si>
  <si>
    <t>Normal</t>
  </si>
  <si>
    <t>Fat</t>
  </si>
  <si>
    <t>P0</t>
  </si>
  <si>
    <t>P1</t>
  </si>
  <si>
    <t>P2</t>
  </si>
  <si>
    <t>P3</t>
  </si>
  <si>
    <t>P4</t>
  </si>
  <si>
    <t>P5</t>
  </si>
  <si>
    <t>P6+</t>
  </si>
  <si>
    <t>Average (kg)</t>
  </si>
  <si>
    <t>112 to farrowing</t>
  </si>
  <si>
    <t>lb/day</t>
  </si>
  <si>
    <t>Weight @ breeding, lb</t>
  </si>
  <si>
    <t>SID M+C/Lysine ratio, %</t>
  </si>
  <si>
    <t>SID THR/Lysine ratio, %</t>
  </si>
  <si>
    <t>SID TRP/Lysine ratio, %</t>
  </si>
  <si>
    <t>SID VAL/Lysine ratio, %</t>
  </si>
  <si>
    <t>SID LEU/Lysine ratio, %</t>
  </si>
  <si>
    <t>SID ILE/Lysine ratio, %</t>
  </si>
  <si>
    <t>Calcium, %</t>
  </si>
  <si>
    <t>Av Phosphorus, %</t>
  </si>
  <si>
    <t>Dig Phosphorus, %*</t>
  </si>
  <si>
    <t>Sodium, %</t>
  </si>
  <si>
    <t>SID HIS/Lysine ratio, %</t>
  </si>
  <si>
    <t>100% of maint</t>
  </si>
  <si>
    <t>ME, Mcal/d</t>
  </si>
  <si>
    <t>lb</t>
  </si>
  <si>
    <t>kg</t>
  </si>
  <si>
    <t>x maint</t>
  </si>
  <si>
    <t>Minimal feeding level @ breeding up to 30 days</t>
  </si>
  <si>
    <t>300 to 400 lb</t>
  </si>
  <si>
    <t>135 to 180kg</t>
  </si>
  <si>
    <t>cm</t>
  </si>
  <si>
    <t>kg/day</t>
  </si>
  <si>
    <t>Maint</t>
  </si>
  <si>
    <t>Minimal feeding level during first 30 days after breeding</t>
  </si>
  <si>
    <t>Predicting weight using flank to flank measurement</t>
  </si>
  <si>
    <t>34 to 38</t>
  </si>
  <si>
    <t>Sire F2F, cm</t>
  </si>
  <si>
    <t>Maternal F2F, cm</t>
  </si>
  <si>
    <t>Sires, kg</t>
  </si>
  <si>
    <t>Maternal, kg</t>
  </si>
  <si>
    <t>Sires, lb</t>
  </si>
  <si>
    <t>Maternal, lb</t>
  </si>
  <si>
    <t>Maternal, in</t>
  </si>
  <si>
    <t>Sires, In</t>
  </si>
  <si>
    <t>Maint, kg/d</t>
  </si>
  <si>
    <t>Feed intake</t>
  </si>
  <si>
    <t>85 to 99</t>
  </si>
  <si>
    <t>86 to 97</t>
  </si>
  <si>
    <t>Maternal F2F, in</t>
  </si>
  <si>
    <t>Sire F2F, in</t>
  </si>
  <si>
    <t>35 to 39</t>
  </si>
  <si>
    <t xml:space="preserve"> </t>
  </si>
  <si>
    <t>Sows (P1+)</t>
  </si>
  <si>
    <t>Gilts (P0)</t>
  </si>
  <si>
    <t>Weight at 1st Breeding, kg</t>
  </si>
  <si>
    <t>Herd</t>
  </si>
  <si>
    <t>Group</t>
  </si>
  <si>
    <t>Base Allocation as % of Maintenance</t>
  </si>
  <si>
    <t>Weight at 
Breeding, kg</t>
  </si>
  <si>
    <t>THIN/RECOVERY</t>
  </si>
  <si>
    <t>Days</t>
  </si>
  <si>
    <t>Fill in the yellow cells</t>
  </si>
  <si>
    <t>ME, Mcal/day</t>
  </si>
  <si>
    <t>ME, MJ/day</t>
  </si>
  <si>
    <t>NE, Mcal/day</t>
  </si>
  <si>
    <t>NE, MJ/day</t>
  </si>
  <si>
    <t>Feed Allocation,
kg/d</t>
  </si>
  <si>
    <t>Body Condition Score</t>
  </si>
  <si>
    <t>THIN / RECOVERY CONDITION</t>
  </si>
  <si>
    <t>Dietary ME, Mcal/kg</t>
  </si>
  <si>
    <t>Dietary NE, Mcal/kg using low fiber (&lt;12% NDF)</t>
  </si>
  <si>
    <t>Dietary NE, Mcal/kg using high fiber (&gt;12% NDF)</t>
  </si>
  <si>
    <t>* Feed intake during early gestation (i.e. 1st 30 days) should not be below the requirements for maintenance. Refer to Table 3 for details</t>
  </si>
  <si>
    <t>Feed Intake, kg/d</t>
  </si>
  <si>
    <t>Weight @ breeding</t>
  </si>
  <si>
    <t>Weight</t>
  </si>
  <si>
    <t>Flank Measurement, cm</t>
  </si>
  <si>
    <t>Predicted/Estimated body weight, kg</t>
  </si>
  <si>
    <t>Flank measurement, cm</t>
  </si>
  <si>
    <t>Min. feed allocation (1st 30 d), kg/d</t>
  </si>
  <si>
    <t>* At the end of early gestation, feed allocation can be patterned to Table 1 criteria</t>
  </si>
  <si>
    <t>BW, kg</t>
  </si>
  <si>
    <t>Est. BW, kg</t>
  </si>
  <si>
    <t>Min. Feed Intake
(1st 30 day), kg/d</t>
  </si>
  <si>
    <t>Dietary ME Equivalent, Kcal/kg</t>
  </si>
  <si>
    <t>Table 1. Recommended base feed allocation for Camborough and PIC maternal lines during gestation</t>
  </si>
  <si>
    <t>Appendix 1. Minimal feed intake target during first 30 days of gestation</t>
  </si>
  <si>
    <r>
      <t xml:space="preserve">* Visit </t>
    </r>
    <r>
      <rPr>
        <b/>
        <u/>
        <sz val="11"/>
        <color rgb="FF0000FF"/>
        <rFont val="Calibri"/>
        <family val="2"/>
        <scheme val="minor"/>
      </rPr>
      <t>https://sdsuswine.shinyapps.io/PICmodel/</t>
    </r>
    <r>
      <rPr>
        <b/>
        <sz val="11"/>
        <color theme="1"/>
        <rFont val="Calibri"/>
        <family val="2"/>
        <scheme val="minor"/>
      </rPr>
      <t xml:space="preserve"> for detailed nutrient speciifcations</t>
    </r>
  </si>
  <si>
    <t>Appendix 2. Recommended amino acid and macro mineral levels, %</t>
  </si>
  <si>
    <t>Minimum feed allocation (1st 30 d), kg/d</t>
  </si>
  <si>
    <t>Table 2. Flank measurement, estimated body weight and corresponding min. feed intake.</t>
  </si>
  <si>
    <t>Table 1. Recommended base feed allocation for PIC terminal lines during gestation</t>
  </si>
  <si>
    <t xml:space="preserve">  kg/day throughout gestation for terminal gilts and sows</t>
  </si>
  <si>
    <t>kg/day during 30 days for terminal sows to recovery body condition</t>
  </si>
  <si>
    <t>IDEAL</t>
  </si>
  <si>
    <t>kg for FAT sows to reduce 1 caliper unit throughout gestation</t>
  </si>
  <si>
    <t>kg for gilts and IDEAL sows to gain ~1.7 caliper units throughout gestation</t>
  </si>
  <si>
    <r>
      <t xml:space="preserve">kg for </t>
    </r>
    <r>
      <rPr>
        <b/>
        <sz val="11"/>
        <color theme="4"/>
        <rFont val="Arial"/>
        <family val="2"/>
      </rPr>
      <t>THIN</t>
    </r>
    <r>
      <rPr>
        <sz val="11"/>
        <rFont val="Arial"/>
        <family val="2"/>
      </rPr>
      <t xml:space="preserve"> sows to gain 2 caliper units for every 30 days</t>
    </r>
  </si>
  <si>
    <t>Equivalent ME, kcal/kg</t>
  </si>
  <si>
    <t>THIN SOWS / RECOVERY CONDITION</t>
  </si>
  <si>
    <t>GILTS and IDEAL SOWS</t>
  </si>
  <si>
    <t>FAT SOWS</t>
  </si>
  <si>
    <t>below maintenance during the first 30 days of gestation</t>
  </si>
  <si>
    <t>Peripartum</t>
  </si>
  <si>
    <t xml:space="preserve">* Feed intake summarized in this table represent the feeding levels at maintenance. PIC does not recommend feeding </t>
  </si>
  <si>
    <t xml:space="preserve">PIC feeding guideline for gestation is based on sow body condtion. The goal of body condition management is to maintain sows in ideal condition and to avoid having any thin sows at farrowing or fat sows at weaning. PIC® recommends using the caliper to assess sow body condition (Figure 2, adapted from Huerta et al, 2021). Click the Figure 2 below to access the most updated technical material of sow body condition management. The critical time points to evaluate body condition is shown in Figure 3.
Moreover, PIC does not recommend feeding below maintenance during the first 30 days of gestation. Table 2 summarizes the feeding levels at maintenance, given body weight and the user-defined diet energy. For gilts, PIC recommends an energy allowance of 4.4 Mcal NE or 5.9 Mcal ME per day throughout the entire gestation regardless of body condition.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</si>
</sst>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38" x14ac:knownFonts="1">
    <font>
      <sz val="11"/>
      <color theme="1"/>
      <name val="Calibri"/>
      <family val="2"/>
      <scheme val="minor"/>
    </font>
    <font>
      <sz val="11"/>
      <color theme="1"/>
      <name val="Calibri"/>
      <family val="2"/>
      <scheme val="minor"/>
    </font>
    <font>
      <b/>
      <sz val="15"/>
      <color theme="3"/>
      <name val="Calibri"/>
      <family val="2"/>
      <scheme val="minor"/>
    </font>
    <font>
      <b/>
      <sz val="15"/>
      <color theme="1"/>
      <name val="Calibri"/>
      <family val="2"/>
      <scheme val="minor"/>
    </font>
    <font>
      <sz val="11"/>
      <name val="Arial"/>
      <family val="2"/>
    </font>
    <font>
      <b/>
      <sz val="11"/>
      <color theme="4"/>
      <name val="Arial"/>
      <family val="2"/>
    </font>
    <font>
      <sz val="11"/>
      <color rgb="FF3F3F76"/>
      <name val="Calibri"/>
      <family val="2"/>
      <scheme val="minor"/>
    </font>
    <font>
      <b/>
      <sz val="16"/>
      <color rgb="FFFF0000"/>
      <name val="Calibri"/>
      <family val="2"/>
      <scheme val="minor"/>
    </font>
    <font>
      <sz val="10"/>
      <name val="Arial"/>
      <family val="2"/>
    </font>
    <font>
      <b/>
      <sz val="14"/>
      <color indexed="9"/>
      <name val="Verdana"/>
      <family val="2"/>
    </font>
    <font>
      <sz val="12"/>
      <name val="Verdana"/>
      <family val="2"/>
    </font>
    <font>
      <vertAlign val="superscript"/>
      <sz val="12"/>
      <name val="Verdana"/>
      <family val="2"/>
    </font>
    <font>
      <sz val="8"/>
      <name val="Arial"/>
      <family val="2"/>
    </font>
    <font>
      <vertAlign val="subscript"/>
      <sz val="8"/>
      <name val="Arial"/>
      <family val="2"/>
    </font>
    <font>
      <b/>
      <sz val="10"/>
      <name val="Arial"/>
      <family val="2"/>
    </font>
    <font>
      <b/>
      <sz val="10"/>
      <color rgb="FFFF0000"/>
      <name val="Arial"/>
      <family val="2"/>
    </font>
    <font>
      <b/>
      <sz val="26"/>
      <color theme="1"/>
      <name val="Calibri"/>
      <family val="2"/>
      <scheme val="minor"/>
    </font>
    <font>
      <sz val="11"/>
      <color rgb="FF000000"/>
      <name val="Calibri"/>
      <family val="2"/>
    </font>
    <font>
      <sz val="11"/>
      <color rgb="FF9C0006"/>
      <name val="Calibri"/>
      <family val="2"/>
    </font>
    <font>
      <sz val="11"/>
      <color rgb="FF006100"/>
      <name val="Calibri"/>
      <family val="2"/>
    </font>
    <font>
      <b/>
      <sz val="11"/>
      <color rgb="FF000000"/>
      <name val="Calibri"/>
      <family val="2"/>
    </font>
    <font>
      <b/>
      <sz val="10"/>
      <color rgb="FF000000"/>
      <name val="Calibri"/>
      <family val="2"/>
    </font>
    <font>
      <b/>
      <sz val="14"/>
      <color theme="3"/>
      <name val="Calibri"/>
      <family val="2"/>
      <scheme val="minor"/>
    </font>
    <font>
      <b/>
      <sz val="14"/>
      <color theme="1"/>
      <name val="Calibri"/>
      <family val="2"/>
      <scheme val="minor"/>
    </font>
    <font>
      <b/>
      <sz val="12"/>
      <color theme="1"/>
      <name val="Calibri"/>
      <family val="2"/>
      <scheme val="minor"/>
    </font>
    <font>
      <b/>
      <sz val="10"/>
      <color theme="3"/>
      <name val="Calibri"/>
      <family val="2"/>
      <scheme val="minor"/>
    </font>
    <font>
      <sz val="10"/>
      <color rgb="FF3F3F76"/>
      <name val="Calibri"/>
      <family val="2"/>
      <scheme val="minor"/>
    </font>
    <font>
      <b/>
      <sz val="11"/>
      <color theme="1"/>
      <name val="Calibri"/>
      <family val="2"/>
      <scheme val="minor"/>
    </font>
    <font>
      <b/>
      <sz val="26"/>
      <color rgb="FFFF0000"/>
      <name val="Calibri"/>
      <family val="2"/>
      <scheme val="minor"/>
    </font>
    <font>
      <b/>
      <sz val="14"/>
      <color rgb="FFFF0000"/>
      <name val="Calibri"/>
      <family val="2"/>
      <scheme val="minor"/>
    </font>
    <font>
      <sz val="12"/>
      <color rgb="FFFF0000"/>
      <name val="Calibri"/>
      <family val="2"/>
      <scheme val="minor"/>
    </font>
    <font>
      <sz val="14"/>
      <color theme="3"/>
      <name val="Calibri"/>
      <family val="2"/>
      <scheme val="minor"/>
    </font>
    <font>
      <b/>
      <sz val="12"/>
      <name val="Calibri"/>
      <family val="2"/>
      <scheme val="minor"/>
    </font>
    <font>
      <sz val="14"/>
      <color theme="1"/>
      <name val="Calibri"/>
      <family val="2"/>
      <scheme val="minor"/>
    </font>
    <font>
      <b/>
      <u/>
      <sz val="11"/>
      <color rgb="FF0000FF"/>
      <name val="Calibri"/>
      <family val="2"/>
      <scheme val="minor"/>
    </font>
    <font>
      <u/>
      <sz val="11"/>
      <color theme="10"/>
      <name val="Calibri"/>
      <family val="2"/>
      <scheme val="minor"/>
    </font>
    <font>
      <sz val="13"/>
      <color theme="1"/>
      <name val="Calibri"/>
      <family val="2"/>
      <scheme val="minor"/>
    </font>
    <font>
      <b/>
      <sz val="11"/>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rgb="FFFFCC99"/>
      </patternFill>
    </fill>
    <fill>
      <patternFill patternType="solid">
        <fgColor theme="0"/>
        <bgColor indexed="64"/>
      </patternFill>
    </fill>
    <fill>
      <patternFill patternType="solid">
        <fgColor theme="3"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rgb="FFFFC7CE"/>
        <bgColor rgb="FFFFC7CE"/>
      </patternFill>
    </fill>
    <fill>
      <patternFill patternType="solid">
        <fgColor rgb="FFC6EFCE"/>
        <bgColor rgb="FFC6EFCE"/>
      </patternFill>
    </fill>
  </fills>
  <borders count="26">
    <border>
      <left/>
      <right/>
      <top/>
      <bottom/>
      <diagonal/>
    </border>
    <border>
      <left/>
      <right/>
      <top/>
      <bottom style="thick">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ck">
        <color theme="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s>
  <cellStyleXfs count="12">
    <xf numFmtId="0" fontId="0" fillId="0" borderId="0"/>
    <xf numFmtId="9" fontId="1" fillId="0" borderId="0" applyFont="0" applyFill="0" applyBorder="0" applyAlignment="0" applyProtection="0"/>
    <xf numFmtId="0" fontId="2" fillId="0" borderId="1" applyNumberFormat="0" applyFill="0" applyAlignment="0" applyProtection="0"/>
    <xf numFmtId="0" fontId="6" fillId="3" borderId="6" applyNumberFormat="0" applyAlignment="0" applyProtection="0"/>
    <xf numFmtId="0" fontId="8" fillId="0" borderId="0"/>
    <xf numFmtId="9" fontId="8" fillId="0" borderId="0" applyFont="0" applyFill="0" applyBorder="0" applyAlignment="0" applyProtection="0"/>
    <xf numFmtId="0" fontId="17" fillId="0" borderId="0"/>
    <xf numFmtId="9" fontId="17" fillId="0" borderId="0" applyFont="0" applyFill="0" applyBorder="0" applyAlignment="0" applyProtection="0"/>
    <xf numFmtId="0" fontId="18" fillId="8" borderId="0" applyNumberFormat="0" applyBorder="0" applyAlignment="0" applyProtection="0"/>
    <xf numFmtId="0" fontId="19" fillId="9" borderId="0" applyNumberFormat="0" applyBorder="0" applyAlignment="0" applyProtection="0"/>
    <xf numFmtId="43" fontId="1" fillId="0" borderId="0" applyFont="0" applyFill="0" applyBorder="0" applyAlignment="0" applyProtection="0"/>
    <xf numFmtId="0" fontId="35" fillId="0" borderId="0" applyNumberFormat="0" applyFill="0" applyBorder="0" applyAlignment="0" applyProtection="0"/>
  </cellStyleXfs>
  <cellXfs count="188">
    <xf numFmtId="0" fontId="0" fillId="0" borderId="0" xfId="0"/>
    <xf numFmtId="0" fontId="0" fillId="0" borderId="0" xfId="0" applyProtection="1"/>
    <xf numFmtId="0" fontId="2" fillId="0" borderId="1" xfId="2" applyProtection="1"/>
    <xf numFmtId="10" fontId="2" fillId="0" borderId="1" xfId="1" applyNumberFormat="1" applyFont="1" applyBorder="1" applyAlignment="1" applyProtection="1">
      <alignment horizontal="center"/>
    </xf>
    <xf numFmtId="0" fontId="8" fillId="0" borderId="0" xfId="4" applyProtection="1">
      <protection hidden="1"/>
    </xf>
    <xf numFmtId="0" fontId="8" fillId="0" borderId="0" xfId="4"/>
    <xf numFmtId="1" fontId="14" fillId="4" borderId="4" xfId="4" applyNumberFormat="1" applyFont="1" applyFill="1" applyBorder="1" applyAlignment="1" applyProtection="1">
      <alignment horizontal="center" vertical="center"/>
      <protection locked="0"/>
    </xf>
    <xf numFmtId="0" fontId="8" fillId="4" borderId="0" xfId="4" applyFill="1" applyProtection="1">
      <protection hidden="1"/>
    </xf>
    <xf numFmtId="1" fontId="8" fillId="0" borderId="0" xfId="4" applyNumberFormat="1"/>
    <xf numFmtId="0" fontId="8" fillId="7" borderId="14" xfId="4" applyFill="1" applyBorder="1" applyAlignment="1" applyProtection="1">
      <alignment horizontal="center" vertical="center"/>
      <protection hidden="1"/>
    </xf>
    <xf numFmtId="0" fontId="8" fillId="7" borderId="15" xfId="4" applyFill="1" applyBorder="1" applyAlignment="1" applyProtection="1">
      <alignment horizontal="center" vertical="center" wrapText="1"/>
      <protection hidden="1"/>
    </xf>
    <xf numFmtId="0" fontId="8" fillId="7" borderId="15" xfId="4" applyFont="1" applyFill="1" applyBorder="1" applyAlignment="1" applyProtection="1">
      <alignment horizontal="center" vertical="center" wrapText="1"/>
      <protection hidden="1"/>
    </xf>
    <xf numFmtId="0" fontId="8" fillId="7" borderId="15" xfId="4" applyFont="1" applyFill="1" applyBorder="1" applyAlignment="1" applyProtection="1">
      <alignment horizontal="center" vertical="center"/>
      <protection hidden="1"/>
    </xf>
    <xf numFmtId="0" fontId="8" fillId="7" borderId="16" xfId="4" applyFont="1" applyFill="1" applyBorder="1" applyAlignment="1" applyProtection="1">
      <alignment horizontal="center" vertical="center"/>
      <protection hidden="1"/>
    </xf>
    <xf numFmtId="0" fontId="8" fillId="7" borderId="17" xfId="4" applyFill="1" applyBorder="1" applyAlignment="1" applyProtection="1">
      <alignment horizontal="center" vertical="center"/>
      <protection hidden="1"/>
    </xf>
    <xf numFmtId="165" fontId="8" fillId="4" borderId="18" xfId="4" applyNumberFormat="1" applyFill="1" applyBorder="1" applyAlignment="1" applyProtection="1">
      <alignment horizontal="center" vertical="center"/>
      <protection locked="0"/>
    </xf>
    <xf numFmtId="1" fontId="8" fillId="4" borderId="18" xfId="4" applyNumberFormat="1" applyFill="1" applyBorder="1" applyAlignment="1" applyProtection="1">
      <alignment horizontal="center" vertical="center"/>
      <protection locked="0"/>
    </xf>
    <xf numFmtId="1" fontId="8" fillId="7" borderId="18" xfId="4" applyNumberFormat="1" applyFill="1" applyBorder="1" applyAlignment="1" applyProtection="1">
      <alignment horizontal="center" vertical="center"/>
      <protection hidden="1"/>
    </xf>
    <xf numFmtId="164" fontId="8" fillId="0" borderId="0" xfId="4" applyNumberFormat="1"/>
    <xf numFmtId="0" fontId="8" fillId="7" borderId="19" xfId="4" applyFill="1" applyBorder="1" applyAlignment="1" applyProtection="1">
      <alignment horizontal="center" vertical="center"/>
      <protection hidden="1"/>
    </xf>
    <xf numFmtId="165" fontId="8" fillId="4" borderId="20" xfId="4" applyNumberFormat="1" applyFill="1" applyBorder="1" applyAlignment="1" applyProtection="1">
      <alignment horizontal="center" vertical="center"/>
      <protection locked="0"/>
    </xf>
    <xf numFmtId="1" fontId="8" fillId="7" borderId="20" xfId="4" applyNumberFormat="1" applyFill="1" applyBorder="1" applyAlignment="1" applyProtection="1">
      <alignment horizontal="center" vertical="center"/>
      <protection hidden="1"/>
    </xf>
    <xf numFmtId="0" fontId="8" fillId="7" borderId="2" xfId="4" applyFill="1" applyBorder="1" applyAlignment="1" applyProtection="1">
      <alignment horizontal="center" vertical="center"/>
      <protection hidden="1"/>
    </xf>
    <xf numFmtId="0" fontId="8" fillId="7" borderId="3" xfId="4" applyFont="1" applyFill="1" applyBorder="1" applyAlignment="1" applyProtection="1">
      <alignment horizontal="center" vertical="center"/>
      <protection hidden="1"/>
    </xf>
    <xf numFmtId="1" fontId="15" fillId="7" borderId="3" xfId="4" applyNumberFormat="1" applyFont="1" applyFill="1" applyBorder="1" applyAlignment="1" applyProtection="1">
      <alignment horizontal="center" vertical="center"/>
      <protection hidden="1"/>
    </xf>
    <xf numFmtId="0" fontId="15" fillId="7" borderId="3" xfId="4" applyFont="1" applyFill="1" applyBorder="1" applyAlignment="1" applyProtection="1">
      <alignment horizontal="center" vertical="center"/>
      <protection hidden="1"/>
    </xf>
    <xf numFmtId="9" fontId="0" fillId="0" borderId="0" xfId="5" applyFont="1"/>
    <xf numFmtId="2" fontId="8" fillId="0" borderId="0" xfId="4" applyNumberFormat="1"/>
    <xf numFmtId="9" fontId="8" fillId="7" borderId="18" xfId="1" applyFont="1" applyFill="1" applyBorder="1" applyAlignment="1" applyProtection="1">
      <alignment horizontal="center" vertical="center"/>
      <protection hidden="1"/>
    </xf>
    <xf numFmtId="9" fontId="15" fillId="7" borderId="3" xfId="1" applyFont="1" applyFill="1" applyBorder="1" applyAlignment="1" applyProtection="1">
      <alignment horizontal="center" vertical="center"/>
      <protection hidden="1"/>
    </xf>
    <xf numFmtId="165" fontId="15" fillId="7" borderId="3" xfId="1" applyNumberFormat="1" applyFont="1" applyFill="1" applyBorder="1" applyAlignment="1" applyProtection="1">
      <alignment horizontal="center" vertical="center"/>
      <protection hidden="1"/>
    </xf>
    <xf numFmtId="9" fontId="2" fillId="0" borderId="1" xfId="1" applyNumberFormat="1" applyFont="1" applyBorder="1" applyAlignment="1" applyProtection="1">
      <alignment horizontal="center"/>
    </xf>
    <xf numFmtId="0" fontId="17" fillId="0" borderId="0" xfId="6"/>
    <xf numFmtId="0" fontId="17" fillId="0" borderId="0" xfId="6" applyAlignment="1">
      <alignment horizontal="center"/>
    </xf>
    <xf numFmtId="1" fontId="17" fillId="0" borderId="0" xfId="6" applyNumberFormat="1"/>
    <xf numFmtId="0" fontId="20" fillId="0" borderId="0" xfId="6" applyFont="1" applyAlignment="1"/>
    <xf numFmtId="1" fontId="17" fillId="0" borderId="0" xfId="6" applyNumberFormat="1" applyAlignment="1">
      <alignment horizontal="center"/>
    </xf>
    <xf numFmtId="0" fontId="21" fillId="0" borderId="7" xfId="6" applyFont="1" applyBorder="1" applyAlignment="1"/>
    <xf numFmtId="0" fontId="21" fillId="0" borderId="5" xfId="6" applyFont="1" applyBorder="1" applyAlignment="1"/>
    <xf numFmtId="0" fontId="17" fillId="0" borderId="5" xfId="6" applyBorder="1"/>
    <xf numFmtId="0" fontId="17" fillId="0" borderId="8" xfId="6" applyBorder="1"/>
    <xf numFmtId="0" fontId="17" fillId="0" borderId="21" xfId="6" applyBorder="1"/>
    <xf numFmtId="0" fontId="17" fillId="0" borderId="0" xfId="6" applyBorder="1"/>
    <xf numFmtId="0" fontId="17" fillId="0" borderId="0" xfId="6" applyBorder="1" applyAlignment="1">
      <alignment horizontal="center" vertical="center"/>
    </xf>
    <xf numFmtId="0" fontId="17" fillId="0" borderId="22" xfId="6" applyBorder="1" applyAlignment="1">
      <alignment horizontal="center" vertical="center"/>
    </xf>
    <xf numFmtId="0" fontId="17" fillId="0" borderId="21" xfId="6" applyBorder="1" applyAlignment="1">
      <alignment horizontal="center" vertical="center"/>
    </xf>
    <xf numFmtId="1" fontId="17" fillId="0" borderId="0" xfId="6" applyNumberFormat="1" applyBorder="1" applyAlignment="1">
      <alignment horizontal="center" vertical="center"/>
    </xf>
    <xf numFmtId="164" fontId="17" fillId="0" borderId="22" xfId="6" applyNumberFormat="1" applyBorder="1" applyAlignment="1">
      <alignment horizontal="center" vertical="center"/>
    </xf>
    <xf numFmtId="164" fontId="17" fillId="0" borderId="21" xfId="6" applyNumberFormat="1" applyBorder="1" applyAlignment="1">
      <alignment horizontal="center" vertical="center"/>
    </xf>
    <xf numFmtId="164" fontId="17" fillId="0" borderId="0" xfId="6" applyNumberFormat="1" applyBorder="1" applyAlignment="1">
      <alignment horizontal="center" vertical="center"/>
    </xf>
    <xf numFmtId="164" fontId="17" fillId="0" borderId="9" xfId="6" applyNumberFormat="1" applyBorder="1" applyAlignment="1">
      <alignment horizontal="center" vertical="center"/>
    </xf>
    <xf numFmtId="164" fontId="17" fillId="0" borderId="10" xfId="6" applyNumberFormat="1" applyBorder="1" applyAlignment="1">
      <alignment horizontal="center" vertical="center"/>
    </xf>
    <xf numFmtId="1" fontId="17" fillId="0" borderId="10" xfId="6" applyNumberFormat="1" applyBorder="1" applyAlignment="1">
      <alignment horizontal="center" vertical="center"/>
    </xf>
    <xf numFmtId="164" fontId="17" fillId="0" borderId="11" xfId="6" applyNumberFormat="1" applyBorder="1" applyAlignment="1">
      <alignment horizontal="center" vertical="center"/>
    </xf>
    <xf numFmtId="2" fontId="17" fillId="0" borderId="22" xfId="6" applyNumberFormat="1" applyBorder="1" applyAlignment="1">
      <alignment horizontal="center" vertical="center"/>
    </xf>
    <xf numFmtId="0" fontId="17" fillId="0" borderId="10" xfId="6" applyBorder="1" applyAlignment="1">
      <alignment horizontal="center" vertical="center"/>
    </xf>
    <xf numFmtId="2" fontId="17" fillId="0" borderId="11" xfId="6" applyNumberFormat="1" applyBorder="1" applyAlignment="1">
      <alignment horizontal="center" vertical="center"/>
    </xf>
    <xf numFmtId="0" fontId="17" fillId="0" borderId="5" xfId="6" applyBorder="1" applyAlignment="1"/>
    <xf numFmtId="0" fontId="17" fillId="0" borderId="21" xfId="6" applyBorder="1" applyAlignment="1"/>
    <xf numFmtId="0" fontId="17" fillId="0" borderId="0" xfId="6" applyBorder="1" applyAlignment="1"/>
    <xf numFmtId="0" fontId="17" fillId="0" borderId="22" xfId="6" applyBorder="1"/>
    <xf numFmtId="0" fontId="17" fillId="0" borderId="21" xfId="6" applyBorder="1" applyAlignment="1">
      <alignment horizontal="center"/>
    </xf>
    <xf numFmtId="2" fontId="17" fillId="0" borderId="21" xfId="6" applyNumberFormat="1" applyBorder="1" applyAlignment="1">
      <alignment horizontal="center" vertical="center"/>
    </xf>
    <xf numFmtId="2" fontId="17" fillId="0" borderId="0" xfId="6" applyNumberFormat="1" applyBorder="1" applyAlignment="1">
      <alignment horizontal="center" vertical="center"/>
    </xf>
    <xf numFmtId="2" fontId="17" fillId="0" borderId="9" xfId="6" applyNumberFormat="1" applyBorder="1" applyAlignment="1">
      <alignment horizontal="center" vertical="center"/>
    </xf>
    <xf numFmtId="2" fontId="17" fillId="0" borderId="10" xfId="6" applyNumberFormat="1" applyBorder="1" applyAlignment="1">
      <alignment horizontal="center" vertical="center"/>
    </xf>
    <xf numFmtId="0" fontId="17" fillId="0" borderId="7" xfId="6" applyBorder="1"/>
    <xf numFmtId="2" fontId="17" fillId="0" borderId="8" xfId="6" applyNumberFormat="1" applyBorder="1"/>
    <xf numFmtId="2" fontId="17" fillId="0" borderId="22" xfId="6" applyNumberFormat="1" applyBorder="1"/>
    <xf numFmtId="164" fontId="17" fillId="0" borderId="22" xfId="6" applyNumberFormat="1" applyBorder="1"/>
    <xf numFmtId="0" fontId="17" fillId="0" borderId="9" xfId="6" applyBorder="1"/>
    <xf numFmtId="2" fontId="17" fillId="0" borderId="11" xfId="6" applyNumberFormat="1" applyBorder="1"/>
    <xf numFmtId="1" fontId="17" fillId="0" borderId="21" xfId="6" applyNumberFormat="1" applyBorder="1" applyAlignment="1">
      <alignment horizontal="center"/>
    </xf>
    <xf numFmtId="1" fontId="17" fillId="0" borderId="0" xfId="6" applyNumberFormat="1" applyBorder="1" applyAlignment="1">
      <alignment horizontal="center"/>
    </xf>
    <xf numFmtId="1" fontId="17" fillId="0" borderId="22" xfId="6" applyNumberFormat="1" applyBorder="1" applyAlignment="1">
      <alignment horizontal="center"/>
    </xf>
    <xf numFmtId="1" fontId="17" fillId="0" borderId="9" xfId="6" applyNumberFormat="1" applyBorder="1" applyAlignment="1">
      <alignment horizontal="center"/>
    </xf>
    <xf numFmtId="0" fontId="17" fillId="0" borderId="10" xfId="6" applyBorder="1" applyAlignment="1">
      <alignment horizontal="center"/>
    </xf>
    <xf numFmtId="1" fontId="17" fillId="0" borderId="10" xfId="6" applyNumberFormat="1" applyBorder="1" applyAlignment="1">
      <alignment horizontal="center"/>
    </xf>
    <xf numFmtId="1" fontId="17" fillId="0" borderId="11" xfId="6" applyNumberFormat="1" applyBorder="1" applyAlignment="1">
      <alignment horizontal="center"/>
    </xf>
    <xf numFmtId="0" fontId="17" fillId="0" borderId="22" xfId="6" applyBorder="1" applyAlignment="1">
      <alignment horizontal="center"/>
    </xf>
    <xf numFmtId="0" fontId="17" fillId="0" borderId="11" xfId="6" applyBorder="1" applyAlignment="1">
      <alignment horizontal="center"/>
    </xf>
    <xf numFmtId="0" fontId="17" fillId="0" borderId="0" xfId="6" applyBorder="1" applyAlignment="1">
      <alignment horizontal="center"/>
    </xf>
    <xf numFmtId="0" fontId="0" fillId="0" borderId="0" xfId="0" applyAlignment="1" applyProtection="1">
      <alignment vertical="center"/>
    </xf>
    <xf numFmtId="0" fontId="3" fillId="0" borderId="0" xfId="2" applyFont="1" applyFill="1" applyBorder="1" applyAlignment="1" applyProtection="1">
      <alignment vertical="center" wrapText="1"/>
    </xf>
    <xf numFmtId="0" fontId="0" fillId="0" borderId="0" xfId="0" applyFill="1" applyAlignment="1" applyProtection="1">
      <alignment vertical="center"/>
    </xf>
    <xf numFmtId="0" fontId="16" fillId="0" borderId="0" xfId="2" applyFont="1" applyFill="1" applyBorder="1" applyAlignment="1" applyProtection="1">
      <alignment horizontal="center" vertical="center"/>
    </xf>
    <xf numFmtId="1" fontId="2" fillId="0" borderId="1" xfId="2" applyNumberFormat="1" applyFill="1" applyAlignment="1" applyProtection="1">
      <alignment horizontal="center" vertical="center"/>
    </xf>
    <xf numFmtId="2" fontId="22" fillId="2" borderId="1" xfId="2" applyNumberFormat="1" applyFont="1" applyFill="1" applyAlignment="1" applyProtection="1">
      <alignment horizontal="center" vertical="center"/>
      <protection locked="0"/>
    </xf>
    <xf numFmtId="0" fontId="22" fillId="0" borderId="1" xfId="2" applyFont="1" applyAlignment="1" applyProtection="1">
      <alignment vertical="center"/>
    </xf>
    <xf numFmtId="1" fontId="22" fillId="2" borderId="1" xfId="2" applyNumberFormat="1" applyFont="1" applyFill="1" applyAlignment="1" applyProtection="1">
      <alignment horizontal="center" vertical="center"/>
      <protection locked="0"/>
    </xf>
    <xf numFmtId="0" fontId="22" fillId="0" borderId="23" xfId="2" applyFont="1" applyBorder="1" applyAlignment="1" applyProtection="1">
      <alignment horizontal="center" vertical="center" wrapText="1"/>
    </xf>
    <xf numFmtId="0" fontId="22" fillId="0" borderId="1" xfId="2" applyFont="1" applyAlignment="1" applyProtection="1">
      <alignment horizontal="center" vertical="center" wrapText="1"/>
    </xf>
    <xf numFmtId="1" fontId="22" fillId="0" borderId="1" xfId="2" applyNumberFormat="1" applyFont="1" applyFill="1" applyAlignment="1" applyProtection="1">
      <alignment horizontal="center" vertical="center"/>
    </xf>
    <xf numFmtId="165" fontId="8" fillId="0" borderId="0" xfId="1" applyNumberFormat="1" applyFont="1"/>
    <xf numFmtId="0" fontId="25" fillId="3" borderId="1" xfId="2" applyFont="1" applyFill="1" applyAlignment="1" applyProtection="1">
      <alignment vertical="center"/>
    </xf>
    <xf numFmtId="0" fontId="25" fillId="3" borderId="1" xfId="2" applyFont="1" applyFill="1" applyAlignment="1" applyProtection="1">
      <alignment horizontal="center" vertical="center"/>
    </xf>
    <xf numFmtId="0" fontId="26" fillId="3" borderId="6" xfId="3" applyFont="1" applyAlignment="1" applyProtection="1">
      <alignment vertical="center"/>
    </xf>
    <xf numFmtId="2" fontId="26" fillId="3" borderId="6" xfId="3" applyNumberFormat="1" applyFont="1" applyAlignment="1" applyProtection="1">
      <alignment horizontal="center" vertical="center"/>
    </xf>
    <xf numFmtId="0" fontId="6" fillId="3" borderId="6" xfId="3" applyAlignment="1" applyProtection="1">
      <alignment horizontal="center" vertical="center"/>
    </xf>
    <xf numFmtId="16" fontId="4" fillId="0" borderId="0" xfId="0" applyNumberFormat="1" applyFont="1" applyAlignment="1" applyProtection="1">
      <alignment horizontal="center" vertical="center"/>
    </xf>
    <xf numFmtId="2"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43" fontId="0" fillId="0" borderId="0" xfId="10" applyFont="1" applyAlignment="1" applyProtection="1">
      <alignment vertical="center"/>
    </xf>
    <xf numFmtId="0" fontId="24" fillId="0" borderId="0" xfId="2" applyFont="1" applyFill="1" applyBorder="1" applyAlignment="1" applyProtection="1">
      <alignment horizontal="center" vertical="center"/>
    </xf>
    <xf numFmtId="0" fontId="23" fillId="0" borderId="0" xfId="2" applyFont="1" applyFill="1" applyBorder="1" applyAlignment="1" applyProtection="1">
      <alignment horizontal="center" vertical="center" wrapText="1"/>
    </xf>
    <xf numFmtId="1" fontId="31" fillId="0" borderId="1" xfId="2" applyNumberFormat="1" applyFont="1" applyFill="1" applyAlignment="1" applyProtection="1">
      <alignment horizontal="center" vertical="center"/>
    </xf>
    <xf numFmtId="2" fontId="31" fillId="4" borderId="1" xfId="2" applyNumberFormat="1" applyFont="1" applyFill="1" applyAlignment="1" applyProtection="1">
      <alignment horizontal="center" vertical="center"/>
    </xf>
    <xf numFmtId="1" fontId="29" fillId="0" borderId="1" xfId="2" applyNumberFormat="1" applyFont="1" applyFill="1" applyAlignment="1" applyProtection="1">
      <alignment horizontal="left" vertical="center"/>
    </xf>
    <xf numFmtId="2" fontId="22" fillId="0" borderId="1" xfId="2" applyNumberFormat="1" applyFont="1" applyAlignment="1" applyProtection="1">
      <alignment horizontal="center" vertical="center" wrapText="1"/>
    </xf>
    <xf numFmtId="9" fontId="22" fillId="0" borderId="1" xfId="2" applyNumberFormat="1" applyFont="1" applyAlignment="1" applyProtection="1">
      <alignment horizontal="center" vertical="center" wrapText="1"/>
    </xf>
    <xf numFmtId="2" fontId="22" fillId="0" borderId="1" xfId="2" applyNumberFormat="1" applyFont="1" applyAlignment="1" applyProtection="1">
      <alignment horizontal="center" vertical="center"/>
    </xf>
    <xf numFmtId="0" fontId="30" fillId="0" borderId="0" xfId="0" applyFont="1" applyAlignment="1" applyProtection="1">
      <alignment horizontal="left" vertical="center"/>
    </xf>
    <xf numFmtId="0" fontId="27" fillId="0" borderId="0" xfId="0" applyFont="1" applyAlignment="1" applyProtection="1">
      <alignment vertical="center"/>
    </xf>
    <xf numFmtId="0" fontId="7" fillId="0" borderId="0" xfId="0" applyFont="1" applyAlignment="1" applyProtection="1">
      <alignment horizontal="center" vertical="center"/>
    </xf>
    <xf numFmtId="2" fontId="31" fillId="0" borderId="1" xfId="2" applyNumberFormat="1" applyFont="1" applyAlignment="1" applyProtection="1">
      <alignment horizontal="center" vertical="center"/>
    </xf>
    <xf numFmtId="0" fontId="20" fillId="0" borderId="7" xfId="6" applyFont="1" applyBorder="1" applyAlignment="1"/>
    <xf numFmtId="9" fontId="17" fillId="0" borderId="22" xfId="7" applyBorder="1" applyAlignment="1">
      <alignment horizontal="center"/>
    </xf>
    <xf numFmtId="9" fontId="17" fillId="0" borderId="11" xfId="7" applyBorder="1" applyAlignment="1">
      <alignment horizontal="center"/>
    </xf>
    <xf numFmtId="164" fontId="17" fillId="0" borderId="0" xfId="6" applyNumberFormat="1" applyAlignment="1">
      <alignment horizontal="center"/>
    </xf>
    <xf numFmtId="2" fontId="17" fillId="0" borderId="0" xfId="6" applyNumberFormat="1" applyAlignment="1">
      <alignment horizontal="center"/>
    </xf>
    <xf numFmtId="2" fontId="29" fillId="0" borderId="1" xfId="2" applyNumberFormat="1" applyFont="1" applyAlignment="1" applyProtection="1">
      <alignment horizontal="left" vertical="center"/>
    </xf>
    <xf numFmtId="164" fontId="31" fillId="0" borderId="1" xfId="1" applyNumberFormat="1" applyFont="1" applyBorder="1" applyAlignment="1" applyProtection="1">
      <alignment horizontal="center" vertical="center"/>
    </xf>
    <xf numFmtId="1" fontId="31" fillId="4" borderId="1" xfId="2" applyNumberFormat="1" applyFont="1" applyFill="1" applyAlignment="1" applyProtection="1">
      <alignment horizontal="center" vertical="center"/>
    </xf>
    <xf numFmtId="0" fontId="17" fillId="0" borderId="0" xfId="6" applyBorder="1" applyAlignment="1">
      <alignment horizontal="center"/>
    </xf>
    <xf numFmtId="0" fontId="17" fillId="0" borderId="0" xfId="6" applyAlignment="1">
      <alignment horizontal="center"/>
    </xf>
    <xf numFmtId="10" fontId="2" fillId="0" borderId="1" xfId="1" applyNumberFormat="1" applyFont="1" applyBorder="1" applyAlignment="1" applyProtection="1">
      <alignment horizontal="center" vertical="center"/>
    </xf>
    <xf numFmtId="0" fontId="2" fillId="0" borderId="0" xfId="2" applyFill="1" applyBorder="1" applyAlignment="1" applyProtection="1">
      <alignment vertical="center"/>
    </xf>
    <xf numFmtId="1" fontId="2" fillId="0" borderId="0" xfId="2" applyNumberFormat="1" applyFill="1" applyBorder="1" applyAlignment="1" applyProtection="1">
      <alignment horizontal="center" vertical="center"/>
    </xf>
    <xf numFmtId="0" fontId="22" fillId="0" borderId="0" xfId="2" applyFont="1" applyFill="1" applyBorder="1" applyAlignment="1" applyProtection="1">
      <alignment vertical="center"/>
    </xf>
    <xf numFmtId="0" fontId="2" fillId="0" borderId="1" xfId="2" applyFill="1" applyAlignment="1" applyProtection="1">
      <alignment vertical="center"/>
    </xf>
    <xf numFmtId="0" fontId="22" fillId="0" borderId="1" xfId="2" applyFont="1" applyFill="1" applyAlignment="1" applyProtection="1">
      <alignment vertical="center"/>
    </xf>
    <xf numFmtId="2" fontId="22" fillId="0" borderId="1" xfId="2" applyNumberFormat="1" applyFont="1" applyFill="1" applyAlignment="1" applyProtection="1">
      <alignment horizontal="center" vertical="center"/>
    </xf>
    <xf numFmtId="0" fontId="22" fillId="0" borderId="1" xfId="2" applyFont="1" applyFill="1" applyAlignment="1" applyProtection="1">
      <alignment horizontal="center" vertical="center"/>
    </xf>
    <xf numFmtId="2" fontId="22" fillId="0" borderId="1" xfId="2" applyNumberFormat="1" applyFont="1" applyFill="1" applyAlignment="1" applyProtection="1">
      <alignment horizontal="center" vertical="center" wrapText="1"/>
    </xf>
    <xf numFmtId="2" fontId="0" fillId="0" borderId="0" xfId="0" applyNumberFormat="1" applyAlignment="1" applyProtection="1">
      <alignment vertical="center"/>
    </xf>
    <xf numFmtId="0" fontId="0" fillId="0" borderId="0" xfId="0" applyBorder="1" applyAlignment="1" applyProtection="1">
      <alignment vertical="center"/>
    </xf>
    <xf numFmtId="2" fontId="0" fillId="0" borderId="0" xfId="0" applyNumberFormat="1" applyAlignment="1" applyProtection="1">
      <alignment horizontal="center" vertical="center"/>
    </xf>
    <xf numFmtId="1" fontId="22" fillId="4" borderId="1" xfId="2" applyNumberFormat="1" applyFont="1" applyFill="1" applyAlignment="1" applyProtection="1">
      <alignment horizontal="center" vertical="center"/>
      <protection locked="0"/>
    </xf>
    <xf numFmtId="164" fontId="22" fillId="2" borderId="1" xfId="2" applyNumberFormat="1" applyFont="1" applyFill="1" applyAlignment="1" applyProtection="1">
      <alignment horizontal="center" vertical="center"/>
      <protection locked="0"/>
    </xf>
    <xf numFmtId="0" fontId="28" fillId="0" borderId="0" xfId="2" applyFont="1" applyFill="1" applyBorder="1" applyAlignment="1" applyProtection="1">
      <alignment vertical="center"/>
    </xf>
    <xf numFmtId="0" fontId="23" fillId="0" borderId="0" xfId="2" applyFont="1" applyFill="1" applyBorder="1" applyAlignment="1" applyProtection="1">
      <alignment vertical="center"/>
    </xf>
    <xf numFmtId="0" fontId="29" fillId="0" borderId="1" xfId="2" applyFont="1" applyAlignment="1" applyProtection="1">
      <alignment vertical="center"/>
    </xf>
    <xf numFmtId="10" fontId="22" fillId="0" borderId="1" xfId="1" applyNumberFormat="1" applyFont="1" applyBorder="1" applyAlignment="1" applyProtection="1">
      <alignment horizontal="center" vertical="center"/>
    </xf>
    <xf numFmtId="9" fontId="22" fillId="0" borderId="1" xfId="1" applyNumberFormat="1" applyFont="1" applyBorder="1" applyAlignment="1" applyProtection="1">
      <alignment horizontal="center" vertical="center"/>
    </xf>
    <xf numFmtId="0" fontId="33" fillId="0" borderId="0" xfId="0" applyFont="1" applyAlignment="1" applyProtection="1">
      <alignment vertical="center"/>
    </xf>
    <xf numFmtId="2" fontId="22" fillId="2" borderId="1" xfId="2" applyNumberFormat="1" applyFont="1" applyFill="1" applyAlignment="1" applyProtection="1">
      <alignment horizontal="left" vertical="center"/>
      <protection locked="0"/>
    </xf>
    <xf numFmtId="0" fontId="35" fillId="0" borderId="0" xfId="11"/>
    <xf numFmtId="0" fontId="33" fillId="0" borderId="0" xfId="0" applyFont="1" applyAlignment="1">
      <alignment vertical="top" wrapText="1"/>
    </xf>
    <xf numFmtId="0" fontId="36" fillId="0" borderId="0" xfId="0" applyFont="1" applyAlignment="1">
      <alignment vertical="top" wrapText="1"/>
    </xf>
    <xf numFmtId="0" fontId="23" fillId="0" borderId="0" xfId="0" applyFont="1"/>
    <xf numFmtId="2" fontId="17" fillId="0" borderId="0" xfId="6" applyNumberFormat="1"/>
    <xf numFmtId="164" fontId="17" fillId="0" borderId="0" xfId="6" applyNumberFormat="1"/>
    <xf numFmtId="164" fontId="17" fillId="0" borderId="0" xfId="6" applyNumberFormat="1" applyBorder="1" applyAlignment="1">
      <alignment horizontal="center"/>
    </xf>
    <xf numFmtId="164" fontId="17" fillId="0" borderId="10" xfId="6" applyNumberFormat="1" applyBorder="1" applyAlignment="1">
      <alignment horizontal="center"/>
    </xf>
    <xf numFmtId="164" fontId="17" fillId="0" borderId="22" xfId="6" applyNumberFormat="1" applyBorder="1" applyAlignment="1">
      <alignment horizontal="center"/>
    </xf>
    <xf numFmtId="164" fontId="17" fillId="0" borderId="11" xfId="6" applyNumberFormat="1" applyBorder="1" applyAlignment="1">
      <alignment horizontal="center"/>
    </xf>
    <xf numFmtId="0" fontId="22" fillId="4" borderId="1" xfId="2" applyFont="1" applyFill="1" applyAlignment="1" applyProtection="1">
      <alignment horizontal="center" vertical="center"/>
    </xf>
    <xf numFmtId="2" fontId="22" fillId="4" borderId="1" xfId="2" applyNumberFormat="1" applyFont="1" applyFill="1" applyAlignment="1" applyProtection="1">
      <alignment horizontal="center" vertical="center"/>
    </xf>
    <xf numFmtId="0" fontId="17" fillId="0" borderId="0" xfId="6" applyBorder="1" applyAlignment="1">
      <alignment horizontal="center"/>
    </xf>
    <xf numFmtId="2" fontId="17" fillId="0" borderId="21" xfId="6" applyNumberFormat="1" applyBorder="1"/>
    <xf numFmtId="0" fontId="29" fillId="0" borderId="1" xfId="2" applyFont="1" applyFill="1" applyAlignment="1" applyProtection="1">
      <alignment horizontal="left" vertical="center"/>
    </xf>
    <xf numFmtId="0" fontId="31" fillId="0" borderId="0" xfId="0" applyFont="1" applyAlignment="1" applyProtection="1">
      <alignment vertical="top" wrapText="1"/>
    </xf>
    <xf numFmtId="0" fontId="27" fillId="0" borderId="0" xfId="0" applyFont="1" applyAlignment="1">
      <alignment vertical="center"/>
    </xf>
    <xf numFmtId="0" fontId="27" fillId="0" borderId="0" xfId="0" applyFont="1" applyProtection="1"/>
    <xf numFmtId="0" fontId="37" fillId="0" borderId="0" xfId="11" applyFont="1" applyAlignment="1" applyProtection="1">
      <alignment vertical="center"/>
      <protection locked="0"/>
    </xf>
    <xf numFmtId="0" fontId="32" fillId="0" borderId="0" xfId="0" applyFont="1" applyAlignment="1" applyProtection="1">
      <alignment horizontal="left" vertical="center"/>
    </xf>
    <xf numFmtId="2" fontId="26" fillId="3" borderId="24" xfId="3" applyNumberFormat="1" applyFont="1" applyBorder="1" applyAlignment="1" applyProtection="1">
      <alignment horizontal="center" vertical="center"/>
    </xf>
    <xf numFmtId="2" fontId="26" fillId="3" borderId="25" xfId="3" applyNumberFormat="1" applyFont="1" applyBorder="1" applyAlignment="1" applyProtection="1">
      <alignment horizontal="center" vertical="center"/>
    </xf>
    <xf numFmtId="0" fontId="22" fillId="0" borderId="0" xfId="0" applyFont="1" applyAlignment="1" applyProtection="1">
      <alignment horizontal="left" vertical="top" wrapText="1"/>
    </xf>
    <xf numFmtId="0" fontId="21" fillId="0" borderId="7" xfId="6" applyFont="1" applyBorder="1" applyAlignment="1">
      <alignment horizontal="center"/>
    </xf>
    <xf numFmtId="0" fontId="21" fillId="0" borderId="5" xfId="6" applyFont="1" applyBorder="1" applyAlignment="1">
      <alignment horizontal="center"/>
    </xf>
    <xf numFmtId="0" fontId="21" fillId="0" borderId="8" xfId="6" applyFont="1" applyBorder="1" applyAlignment="1">
      <alignment horizontal="center"/>
    </xf>
    <xf numFmtId="0" fontId="21" fillId="0" borderId="7" xfId="6" applyFont="1" applyBorder="1" applyAlignment="1">
      <alignment horizontal="left"/>
    </xf>
    <xf numFmtId="0" fontId="21" fillId="0" borderId="5" xfId="6" applyFont="1" applyBorder="1" applyAlignment="1">
      <alignment horizontal="left"/>
    </xf>
    <xf numFmtId="0" fontId="21" fillId="0" borderId="8" xfId="6" applyFont="1" applyBorder="1" applyAlignment="1">
      <alignment horizontal="left"/>
    </xf>
    <xf numFmtId="0" fontId="17" fillId="0" borderId="0" xfId="6" applyBorder="1" applyAlignment="1">
      <alignment horizontal="center"/>
    </xf>
    <xf numFmtId="0" fontId="17" fillId="0" borderId="0" xfId="6" applyAlignment="1">
      <alignment horizontal="center"/>
    </xf>
    <xf numFmtId="0" fontId="9" fillId="5" borderId="7" xfId="4" applyFont="1" applyFill="1" applyBorder="1" applyAlignment="1" applyProtection="1">
      <alignment horizontal="center" vertical="center" wrapText="1"/>
      <protection hidden="1"/>
    </xf>
    <xf numFmtId="0" fontId="9" fillId="5" borderId="5" xfId="4" applyFont="1" applyFill="1" applyBorder="1" applyAlignment="1" applyProtection="1">
      <alignment horizontal="center" vertical="center" wrapText="1"/>
      <protection hidden="1"/>
    </xf>
    <xf numFmtId="0" fontId="9" fillId="5" borderId="8" xfId="4" applyFont="1" applyFill="1" applyBorder="1" applyAlignment="1" applyProtection="1">
      <alignment horizontal="center" vertical="center" wrapText="1"/>
      <protection hidden="1"/>
    </xf>
    <xf numFmtId="0" fontId="10" fillId="5" borderId="9" xfId="4" applyFont="1" applyFill="1" applyBorder="1" applyAlignment="1" applyProtection="1">
      <alignment horizontal="center" vertical="center"/>
      <protection hidden="1"/>
    </xf>
    <xf numFmtId="0" fontId="10" fillId="5" borderId="10" xfId="4" applyFont="1" applyFill="1" applyBorder="1" applyAlignment="1" applyProtection="1">
      <alignment horizontal="center" vertical="center"/>
      <protection hidden="1"/>
    </xf>
    <xf numFmtId="0" fontId="10" fillId="5" borderId="11" xfId="4" applyFont="1" applyFill="1" applyBorder="1" applyAlignment="1" applyProtection="1">
      <alignment horizontal="center" vertical="center"/>
      <protection hidden="1"/>
    </xf>
    <xf numFmtId="0" fontId="12" fillId="6" borderId="2" xfId="4" applyFont="1" applyFill="1" applyBorder="1" applyAlignment="1" applyProtection="1">
      <alignment horizontal="left" vertical="center"/>
      <protection hidden="1"/>
    </xf>
    <xf numFmtId="0" fontId="12" fillId="6" borderId="3" xfId="4" applyFont="1" applyFill="1" applyBorder="1" applyAlignment="1" applyProtection="1">
      <alignment horizontal="left" vertical="center"/>
      <protection hidden="1"/>
    </xf>
    <xf numFmtId="0" fontId="8" fillId="7" borderId="12" xfId="4" applyFill="1" applyBorder="1" applyAlignment="1" applyProtection="1">
      <alignment horizontal="center" vertical="center" wrapText="1"/>
      <protection hidden="1"/>
    </xf>
    <xf numFmtId="0" fontId="8" fillId="7" borderId="13" xfId="4" applyFill="1" applyBorder="1" applyAlignment="1" applyProtection="1">
      <alignment horizontal="center" vertical="center" wrapText="1"/>
      <protection hidden="1"/>
    </xf>
    <xf numFmtId="0" fontId="8" fillId="7" borderId="13" xfId="4" applyFont="1" applyFill="1" applyBorder="1" applyAlignment="1" applyProtection="1">
      <alignment horizontal="center" vertical="center" wrapText="1"/>
      <protection hidden="1"/>
    </xf>
  </cellXfs>
  <cellStyles count="12">
    <cellStyle name="Bad 2" xfId="8" xr:uid="{8EB56DA3-CCD3-493C-A7E7-D8F136C6AD46}"/>
    <cellStyle name="Comma" xfId="10" builtinId="3"/>
    <cellStyle name="Good 2" xfId="9" xr:uid="{B6308213-97BD-41D2-B992-0327342EAD31}"/>
    <cellStyle name="Heading 1" xfId="2" builtinId="16"/>
    <cellStyle name="Hyperlink" xfId="11" builtinId="8"/>
    <cellStyle name="Input" xfId="3" builtinId="20"/>
    <cellStyle name="Normal" xfId="0" builtinId="0"/>
    <cellStyle name="Normal 2" xfId="4" xr:uid="{6322DDF1-3820-4A0F-9F0F-CFEF4F0A2526}"/>
    <cellStyle name="Normal 3" xfId="6" xr:uid="{AE662B2E-11A0-4ABC-9519-743B39C9FAF2}"/>
    <cellStyle name="Percent" xfId="1" builtinId="5"/>
    <cellStyle name="Percent 2" xfId="7" xr:uid="{D1893B28-AC36-49DF-8C58-1DA5EC0BF8F1}"/>
    <cellStyle name="Percent 3" xfId="5" xr:uid="{811916E1-FFE6-40CD-97CC-267A41888D9E}"/>
  </cellStyles>
  <dxfs count="2">
    <dxf>
      <font>
        <b/>
        <i val="0"/>
        <color rgb="FFFF0000"/>
      </font>
      <fill>
        <patternFill patternType="none">
          <bgColor auto="1"/>
        </patternFill>
      </fill>
    </dxf>
    <dxf>
      <font>
        <b/>
        <i val="0"/>
        <color rgb="FFFF0000"/>
      </font>
      <fill>
        <patternFill patternType="none">
          <bgColor auto="1"/>
        </patternFill>
      </fill>
    </dxf>
  </dxfs>
  <tableStyles count="0" defaultTableStyle="TableStyleMedium2" defaultPivotStyle="PivotStyleLight16"/>
  <colors>
    <mruColors>
      <color rgb="FF0000FF"/>
      <color rgb="FF5697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ysClr val="windowText" lastClr="000000"/>
                </a:solidFill>
                <a:latin typeface="+mn-lt"/>
                <a:ea typeface="+mn-ea"/>
                <a:cs typeface="+mn-cs"/>
              </a:defRPr>
            </a:pPr>
            <a:r>
              <a:rPr lang="en-US" sz="2800" b="1">
                <a:effectLst/>
              </a:rPr>
              <a:t>Figure 1. PIC Feeding Levels for Maternal Females</a:t>
            </a:r>
            <a:endParaRPr lang="en-US" sz="4000">
              <a:effectLst/>
            </a:endParaRPr>
          </a:p>
        </c:rich>
      </c:tx>
      <c:layout>
        <c:manualLayout>
          <c:xMode val="edge"/>
          <c:yMode val="edge"/>
          <c:x val="0.15137559348698906"/>
          <c:y val="4.828527993000848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9165441280440937E-2"/>
          <c:y val="0.13092740678050838"/>
          <c:w val="0.82504219469634121"/>
          <c:h val="0.66631955304319768"/>
        </c:manualLayout>
      </c:layout>
      <c:lineChart>
        <c:grouping val="standard"/>
        <c:varyColors val="0"/>
        <c:ser>
          <c:idx val="0"/>
          <c:order val="0"/>
          <c:tx>
            <c:strRef>
              <c:f>'Maternal lines'!$C$37</c:f>
              <c:strCache>
                <c:ptCount val="1"/>
                <c:pt idx="0">
                  <c:v>kg for THIN sows to gain 2 caliper units for every 30 days</c:v>
                </c:pt>
              </c:strCache>
            </c:strRef>
          </c:tx>
          <c:spPr>
            <a:ln w="127000" cap="rnd">
              <a:solidFill>
                <a:schemeClr val="accent1"/>
              </a:solidFill>
              <a:round/>
            </a:ln>
            <a:effectLst/>
          </c:spPr>
          <c:marker>
            <c:symbol val="square"/>
            <c:size val="20"/>
            <c:spPr>
              <a:solidFill>
                <a:schemeClr val="bg1"/>
              </a:solidFill>
              <a:ln w="9525">
                <a:solidFill>
                  <a:schemeClr val="bg1"/>
                </a:solidFill>
              </a:ln>
              <a:effectLst/>
            </c:spPr>
          </c:marker>
          <c:dLbls>
            <c:dLbl>
              <c:idx val="2"/>
              <c:layout>
                <c:manualLayout>
                  <c:x val="-0.13539083809506336"/>
                  <c:y val="5.8243396462966703E-2"/>
                </c:manualLayout>
              </c:layout>
              <c:spPr>
                <a:noFill/>
                <a:ln w="38100">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48743278173442"/>
                      <c:h val="6.7490109362285389E-2"/>
                    </c:manualLayout>
                  </c15:layout>
                </c:ext>
                <c:ext xmlns:c16="http://schemas.microsoft.com/office/drawing/2014/chart" uri="{C3380CC4-5D6E-409C-BE32-E72D297353CC}">
                  <c16:uniqueId val="{00000000-982D-4C25-AB29-966FA1CA81E1}"/>
                </c:ext>
              </c:extLst>
            </c:dLbl>
            <c:spPr>
              <a:noFill/>
              <a:ln w="38100">
                <a:solidFill>
                  <a:srgbClr val="0070C0"/>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'Maternal lines'!$B$38:$B$42</c:f>
              <c:strCache>
                <c:ptCount val="5"/>
                <c:pt idx="0">
                  <c:v>1 to 30 days</c:v>
                </c:pt>
                <c:pt idx="1">
                  <c:v>31 to 60 days</c:v>
                </c:pt>
                <c:pt idx="2">
                  <c:v>61 to 90 days</c:v>
                </c:pt>
                <c:pt idx="3">
                  <c:v>91 to 112 days</c:v>
                </c:pt>
                <c:pt idx="4">
                  <c:v>Peripartum</c:v>
                </c:pt>
              </c:strCache>
            </c:strRef>
          </c:cat>
          <c:val>
            <c:numRef>
              <c:f>'Maternal lines'!$C$38:$C$42</c:f>
              <c:numCache>
                <c:formatCode>0.00</c:formatCode>
                <c:ptCount val="5"/>
                <c:pt idx="0">
                  <c:v>2.4767801857585141</c:v>
                </c:pt>
                <c:pt idx="1">
                  <c:v>2.4767801857585141</c:v>
                </c:pt>
                <c:pt idx="2">
                  <c:v>2.4767801857585141</c:v>
                </c:pt>
                <c:pt idx="3">
                  <c:v>2.4767801857585141</c:v>
                </c:pt>
                <c:pt idx="4">
                  <c:v>2.4767801857585141</c:v>
                </c:pt>
              </c:numCache>
            </c:numRef>
          </c:val>
          <c:smooth val="0"/>
          <c:extLst>
            <c:ext xmlns:c16="http://schemas.microsoft.com/office/drawing/2014/chart" uri="{C3380CC4-5D6E-409C-BE32-E72D297353CC}">
              <c16:uniqueId val="{00000001-982D-4C25-AB29-966FA1CA81E1}"/>
            </c:ext>
          </c:extLst>
        </c:ser>
        <c:ser>
          <c:idx val="1"/>
          <c:order val="1"/>
          <c:tx>
            <c:strRef>
              <c:f>'Maternal lines'!$D$37</c:f>
              <c:strCache>
                <c:ptCount val="1"/>
                <c:pt idx="0">
                  <c:v>kg for gilts and IDEAL sows to gain ~1.7 caliper units throughout gestation</c:v>
                </c:pt>
              </c:strCache>
            </c:strRef>
          </c:tx>
          <c:spPr>
            <a:ln w="190500" cap="rnd">
              <a:solidFill>
                <a:srgbClr val="00B050"/>
              </a:solidFill>
              <a:round/>
            </a:ln>
            <a:effectLst/>
          </c:spPr>
          <c:marker>
            <c:symbol val="none"/>
          </c:marker>
          <c:dLbls>
            <c:dLbl>
              <c:idx val="2"/>
              <c:layout>
                <c:manualLayout>
                  <c:x val="-0.13052618859204324"/>
                  <c:y val="7.2766303894328088E-2"/>
                </c:manualLayout>
              </c:layout>
              <c:spPr>
                <a:noFill/>
                <a:ln w="38100">
                  <a:solidFill>
                    <a:schemeClr val="bg1"/>
                  </a:solid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8139610986564523"/>
                      <c:h val="6.8718466435156667E-2"/>
                    </c:manualLayout>
                  </c15:layout>
                </c:ext>
                <c:ext xmlns:c16="http://schemas.microsoft.com/office/drawing/2014/chart" uri="{C3380CC4-5D6E-409C-BE32-E72D297353CC}">
                  <c16:uniqueId val="{00000002-982D-4C25-AB29-966FA1CA81E1}"/>
                </c:ext>
              </c:extLst>
            </c:dLbl>
            <c:spPr>
              <a:noFill/>
              <a:ln w="38100">
                <a:solidFill>
                  <a:srgbClr val="00B050"/>
                </a:solid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'Maternal lines'!$B$38:$B$42</c:f>
              <c:strCache>
                <c:ptCount val="5"/>
                <c:pt idx="0">
                  <c:v>1 to 30 days</c:v>
                </c:pt>
                <c:pt idx="1">
                  <c:v>31 to 60 days</c:v>
                </c:pt>
                <c:pt idx="2">
                  <c:v>61 to 90 days</c:v>
                </c:pt>
                <c:pt idx="3">
                  <c:v>91 to 112 days</c:v>
                </c:pt>
                <c:pt idx="4">
                  <c:v>Peripartum</c:v>
                </c:pt>
              </c:strCache>
            </c:strRef>
          </c:cat>
          <c:val>
            <c:numRef>
              <c:f>'Maternal lines'!$D$38:$D$42</c:f>
              <c:numCache>
                <c:formatCode>0.00</c:formatCode>
                <c:ptCount val="5"/>
                <c:pt idx="0">
                  <c:v>1.8266253869969042</c:v>
                </c:pt>
                <c:pt idx="1">
                  <c:v>1.8266253869969042</c:v>
                </c:pt>
                <c:pt idx="2">
                  <c:v>1.8266253869969042</c:v>
                </c:pt>
                <c:pt idx="3">
                  <c:v>1.8266253869969042</c:v>
                </c:pt>
                <c:pt idx="4">
                  <c:v>1.8266253869969042</c:v>
                </c:pt>
              </c:numCache>
            </c:numRef>
          </c:val>
          <c:smooth val="0"/>
          <c:extLst>
            <c:ext xmlns:c16="http://schemas.microsoft.com/office/drawing/2014/chart" uri="{C3380CC4-5D6E-409C-BE32-E72D297353CC}">
              <c16:uniqueId val="{00000003-982D-4C25-AB29-966FA1CA81E1}"/>
            </c:ext>
          </c:extLst>
        </c:ser>
        <c:ser>
          <c:idx val="2"/>
          <c:order val="2"/>
          <c:tx>
            <c:strRef>
              <c:f>'Maternal lines'!$E$37</c:f>
              <c:strCache>
                <c:ptCount val="1"/>
                <c:pt idx="0">
                  <c:v>kg for FAT sows to reduce 1 caliper unit throughout gestation</c:v>
                </c:pt>
              </c:strCache>
            </c:strRef>
          </c:tx>
          <c:spPr>
            <a:ln w="127000" cap="rnd">
              <a:solidFill>
                <a:srgbClr val="FF0000"/>
              </a:solidFill>
              <a:round/>
            </a:ln>
            <a:effectLst/>
          </c:spPr>
          <c:marker>
            <c:symbol val="none"/>
          </c:marker>
          <c:dLbls>
            <c:dLbl>
              <c:idx val="2"/>
              <c:layout>
                <c:manualLayout>
                  <c:x val="-0.1263395618780829"/>
                  <c:y val="4.5314032675646203E-2"/>
                </c:manualLayout>
              </c:layout>
              <c:spPr>
                <a:solidFill>
                  <a:schemeClr val="bg1"/>
                </a:solidFill>
                <a:ln w="38100">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8755252625059424"/>
                      <c:h val="6.1487296652699586E-2"/>
                    </c:manualLayout>
                  </c15:layout>
                </c:ext>
                <c:ext xmlns:c16="http://schemas.microsoft.com/office/drawing/2014/chart" uri="{C3380CC4-5D6E-409C-BE32-E72D297353CC}">
                  <c16:uniqueId val="{00000004-982D-4C25-AB29-966FA1CA81E1}"/>
                </c:ext>
              </c:extLst>
            </c:dLbl>
            <c:spPr>
              <a:solidFill>
                <a:schemeClr val="bg1"/>
              </a:solidFill>
              <a:ln w="38100">
                <a:solidFill>
                  <a:srgbClr val="FF0000"/>
                </a:solid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'Maternal lines'!$B$38:$B$42</c:f>
              <c:strCache>
                <c:ptCount val="5"/>
                <c:pt idx="0">
                  <c:v>1 to 30 days</c:v>
                </c:pt>
                <c:pt idx="1">
                  <c:v>31 to 60 days</c:v>
                </c:pt>
                <c:pt idx="2">
                  <c:v>61 to 90 days</c:v>
                </c:pt>
                <c:pt idx="3">
                  <c:v>91 to 112 days</c:v>
                </c:pt>
                <c:pt idx="4">
                  <c:v>Peripartum</c:v>
                </c:pt>
              </c:strCache>
            </c:strRef>
          </c:cat>
          <c:val>
            <c:numRef>
              <c:f>'Maternal lines'!$E$38:$E$42</c:f>
              <c:numCache>
                <c:formatCode>0.00</c:formatCode>
                <c:ptCount val="5"/>
                <c:pt idx="0">
                  <c:v>1.51702786377709</c:v>
                </c:pt>
                <c:pt idx="1">
                  <c:v>1.51702786377709</c:v>
                </c:pt>
                <c:pt idx="2">
                  <c:v>1.51702786377709</c:v>
                </c:pt>
                <c:pt idx="3">
                  <c:v>1.51702786377709</c:v>
                </c:pt>
                <c:pt idx="4">
                  <c:v>1.51702786377709</c:v>
                </c:pt>
              </c:numCache>
            </c:numRef>
          </c:val>
          <c:smooth val="0"/>
          <c:extLst>
            <c:ext xmlns:c16="http://schemas.microsoft.com/office/drawing/2014/chart" uri="{C3380CC4-5D6E-409C-BE32-E72D297353CC}">
              <c16:uniqueId val="{00000005-982D-4C25-AB29-966FA1CA81E1}"/>
            </c:ext>
          </c:extLst>
        </c:ser>
        <c:dLbls>
          <c:showLegendKey val="0"/>
          <c:showVal val="0"/>
          <c:showCatName val="0"/>
          <c:showSerName val="0"/>
          <c:showPercent val="0"/>
          <c:showBubbleSize val="0"/>
        </c:dLbls>
        <c:marker val="1"/>
        <c:smooth val="0"/>
        <c:axId val="673090104"/>
        <c:axId val="673091416"/>
      </c:lineChart>
      <c:catAx>
        <c:axId val="67309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crossAx val="673091416"/>
        <c:crosses val="autoZero"/>
        <c:auto val="1"/>
        <c:lblAlgn val="ctr"/>
        <c:lblOffset val="100"/>
        <c:noMultiLvlLbl val="0"/>
      </c:catAx>
      <c:valAx>
        <c:axId val="673091416"/>
        <c:scaling>
          <c:orientation val="minMax"/>
          <c:min val="1.3"/>
        </c:scaling>
        <c:delete val="1"/>
        <c:axPos val="l"/>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sz="1600" b="1">
                    <a:solidFill>
                      <a:sysClr val="windowText" lastClr="000000"/>
                    </a:solidFill>
                  </a:rPr>
                  <a:t>kg/day</a:t>
                </a:r>
              </a:p>
            </c:rich>
          </c:tx>
          <c:layout>
            <c:manualLayout>
              <c:xMode val="edge"/>
              <c:yMode val="edge"/>
              <c:x val="2.1591727762003646E-2"/>
              <c:y val="0.43100524384137517"/>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00" sourceLinked="1"/>
        <c:majorTickMark val="out"/>
        <c:minorTickMark val="none"/>
        <c:tickLblPos val="nextTo"/>
        <c:crossAx val="673090104"/>
        <c:crosses val="autoZero"/>
        <c:crossBetween val="midCat"/>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ysClr val="windowText" lastClr="000000"/>
                </a:solidFill>
                <a:latin typeface="+mn-lt"/>
                <a:ea typeface="+mn-ea"/>
                <a:cs typeface="+mn-cs"/>
              </a:defRPr>
            </a:pPr>
            <a:r>
              <a:rPr lang="en-US" sz="2800" b="1">
                <a:effectLst/>
              </a:rPr>
              <a:t>PIC Feeding Levels for Terminal Females</a:t>
            </a:r>
            <a:endParaRPr lang="en-US" sz="4000">
              <a:effectLst/>
            </a:endParaRPr>
          </a:p>
        </c:rich>
      </c:tx>
      <c:layout>
        <c:manualLayout>
          <c:xMode val="edge"/>
          <c:yMode val="edge"/>
          <c:x val="0.24089763330864719"/>
          <c:y val="4.280544323527477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7980152508369135E-2"/>
          <c:y val="0.11864977257565856"/>
          <c:w val="0.84176691088362354"/>
          <c:h val="0.7607411697792249"/>
        </c:manualLayout>
      </c:layout>
      <c:lineChart>
        <c:grouping val="standard"/>
        <c:varyColors val="0"/>
        <c:ser>
          <c:idx val="0"/>
          <c:order val="0"/>
          <c:tx>
            <c:strRef>
              <c:f>'Terminal lines'!$C$34</c:f>
              <c:strCache>
                <c:ptCount val="1"/>
                <c:pt idx="0">
                  <c:v>kg/day during 30 days for terminal sows to recovery body condition</c:v>
                </c:pt>
              </c:strCache>
            </c:strRef>
          </c:tx>
          <c:spPr>
            <a:ln w="127000" cap="rnd">
              <a:solidFill>
                <a:schemeClr val="accent1"/>
              </a:solidFill>
              <a:round/>
            </a:ln>
            <a:effectLst/>
          </c:spPr>
          <c:marker>
            <c:symbol val="square"/>
            <c:size val="20"/>
            <c:spPr>
              <a:solidFill>
                <a:schemeClr val="bg1"/>
              </a:solidFill>
              <a:ln w="9525">
                <a:solidFill>
                  <a:schemeClr val="bg1"/>
                </a:solidFill>
              </a:ln>
              <a:effectLst/>
            </c:spPr>
          </c:marker>
          <c:dLbls>
            <c:dLbl>
              <c:idx val="2"/>
              <c:layout>
                <c:manualLayout>
                  <c:x val="-0.13539083809506336"/>
                  <c:y val="5.8243396462966703E-2"/>
                </c:manualLayout>
              </c:layout>
              <c:spPr>
                <a:noFill/>
                <a:ln w="38100">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48743278173442"/>
                      <c:h val="6.7490109362285389E-2"/>
                    </c:manualLayout>
                  </c15:layout>
                </c:ext>
                <c:ext xmlns:c16="http://schemas.microsoft.com/office/drawing/2014/chart" uri="{C3380CC4-5D6E-409C-BE32-E72D297353CC}">
                  <c16:uniqueId val="{00000000-2DDB-4AE5-B18C-E3519C48A877}"/>
                </c:ext>
              </c:extLst>
            </c:dLbl>
            <c:spPr>
              <a:noFill/>
              <a:ln w="38100">
                <a:solidFill>
                  <a:srgbClr val="0070C0"/>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'Terminal lines'!$B$35:$B$39</c:f>
              <c:strCache>
                <c:ptCount val="5"/>
                <c:pt idx="0">
                  <c:v>1 to 30 days</c:v>
                </c:pt>
                <c:pt idx="1">
                  <c:v>31 to 60 days</c:v>
                </c:pt>
                <c:pt idx="2">
                  <c:v>61 to 90 days</c:v>
                </c:pt>
                <c:pt idx="3">
                  <c:v>91 to 112 days</c:v>
                </c:pt>
                <c:pt idx="4">
                  <c:v>112 to farrowing</c:v>
                </c:pt>
              </c:strCache>
            </c:strRef>
          </c:cat>
          <c:val>
            <c:numRef>
              <c:f>'Terminal lines'!$C$35:$C$39</c:f>
              <c:numCache>
                <c:formatCode>0.00</c:formatCode>
                <c:ptCount val="5"/>
                <c:pt idx="0">
                  <c:v>2.4250075801749276</c:v>
                </c:pt>
                <c:pt idx="1">
                  <c:v>2.4250075801749276</c:v>
                </c:pt>
                <c:pt idx="2">
                  <c:v>2.4250075801749276</c:v>
                </c:pt>
                <c:pt idx="3">
                  <c:v>2.4250075801749276</c:v>
                </c:pt>
                <c:pt idx="4">
                  <c:v>2.4250075801749276</c:v>
                </c:pt>
              </c:numCache>
            </c:numRef>
          </c:val>
          <c:smooth val="0"/>
          <c:extLst>
            <c:ext xmlns:c16="http://schemas.microsoft.com/office/drawing/2014/chart" uri="{C3380CC4-5D6E-409C-BE32-E72D297353CC}">
              <c16:uniqueId val="{00000001-2DDB-4AE5-B18C-E3519C48A877}"/>
            </c:ext>
          </c:extLst>
        </c:ser>
        <c:ser>
          <c:idx val="1"/>
          <c:order val="1"/>
          <c:tx>
            <c:strRef>
              <c:f>'Terminal lines'!$D$34</c:f>
              <c:strCache>
                <c:ptCount val="1"/>
                <c:pt idx="0">
                  <c:v>  kg/day throughout gestation for terminal gilts and sows</c:v>
                </c:pt>
              </c:strCache>
            </c:strRef>
          </c:tx>
          <c:spPr>
            <a:ln w="190500" cap="rnd">
              <a:solidFill>
                <a:srgbClr val="00B050"/>
              </a:solidFill>
              <a:round/>
            </a:ln>
            <a:effectLst/>
          </c:spPr>
          <c:marker>
            <c:symbol val="none"/>
          </c:marker>
          <c:dLbls>
            <c:dLbl>
              <c:idx val="2"/>
              <c:layout>
                <c:manualLayout>
                  <c:x val="-0.12831611810248739"/>
                  <c:y val="6.7881903381078496E-2"/>
                </c:manualLayout>
              </c:layout>
              <c:spPr>
                <a:noFill/>
                <a:ln w="38100">
                  <a:solidFill>
                    <a:schemeClr val="bg1"/>
                  </a:solidFill>
                </a:ln>
                <a:effectLst/>
              </c:spPr>
              <c:txPr>
                <a:bodyPr rot="0" spcFirstLastPara="1" vertOverflow="ellipsis" vert="horz" wrap="square" lIns="38100" tIns="19050" rIns="38100" bIns="19050" anchor="ctr" anchorCtr="1">
                  <a:no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15:layout>
                    <c:manualLayout>
                      <c:w val="0.78139610986564523"/>
                      <c:h val="6.8718466435156667E-2"/>
                    </c:manualLayout>
                  </c15:layout>
                </c:ext>
                <c:ext xmlns:c16="http://schemas.microsoft.com/office/drawing/2014/chart" uri="{C3380CC4-5D6E-409C-BE32-E72D297353CC}">
                  <c16:uniqueId val="{00000002-2DDB-4AE5-B18C-E3519C48A877}"/>
                </c:ext>
              </c:extLst>
            </c:dLbl>
            <c:spPr>
              <a:noFill/>
              <a:ln w="38100">
                <a:solidFill>
                  <a:srgbClr val="00B050"/>
                </a:solid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'Terminal lines'!$B$35:$B$39</c:f>
              <c:strCache>
                <c:ptCount val="5"/>
                <c:pt idx="0">
                  <c:v>1 to 30 days</c:v>
                </c:pt>
                <c:pt idx="1">
                  <c:v>31 to 60 days</c:v>
                </c:pt>
                <c:pt idx="2">
                  <c:v>61 to 90 days</c:v>
                </c:pt>
                <c:pt idx="3">
                  <c:v>91 to 112 days</c:v>
                </c:pt>
                <c:pt idx="4">
                  <c:v>112 to farrowing</c:v>
                </c:pt>
              </c:strCache>
            </c:strRef>
          </c:cat>
          <c:val>
            <c:numRef>
              <c:f>'Terminal lines'!$D$35:$D$39</c:f>
              <c:numCache>
                <c:formatCode>0.00</c:formatCode>
                <c:ptCount val="5"/>
                <c:pt idx="0">
                  <c:v>1.4853171428571432</c:v>
                </c:pt>
                <c:pt idx="1">
                  <c:v>1.4853171428571432</c:v>
                </c:pt>
                <c:pt idx="2">
                  <c:v>1.4853171428571432</c:v>
                </c:pt>
                <c:pt idx="3">
                  <c:v>1.4853171428571432</c:v>
                </c:pt>
                <c:pt idx="4">
                  <c:v>1.4853171428571432</c:v>
                </c:pt>
              </c:numCache>
            </c:numRef>
          </c:val>
          <c:smooth val="0"/>
          <c:extLst>
            <c:ext xmlns:c16="http://schemas.microsoft.com/office/drawing/2014/chart" uri="{C3380CC4-5D6E-409C-BE32-E72D297353CC}">
              <c16:uniqueId val="{00000003-2DDB-4AE5-B18C-E3519C48A877}"/>
            </c:ext>
          </c:extLst>
        </c:ser>
        <c:ser>
          <c:idx val="2"/>
          <c:order val="2"/>
          <c:tx>
            <c:strRef>
              <c:f>'Sirelines, metric'!#REF!</c:f>
              <c:strCache>
                <c:ptCount val="1"/>
                <c:pt idx="0">
                  <c:v>#REF!</c:v>
                </c:pt>
              </c:strCache>
            </c:strRef>
          </c:tx>
          <c:spPr>
            <a:ln w="28575" cap="rnd">
              <a:solidFill>
                <a:schemeClr val="accent3"/>
              </a:solidFill>
              <a:round/>
            </a:ln>
            <a:effectLst/>
          </c:spPr>
          <c:marker>
            <c:symbol val="none"/>
          </c:marker>
          <c:cat>
            <c:strRef>
              <c:f>'Terminal lines'!$B$35:$B$39</c:f>
              <c:strCache>
                <c:ptCount val="5"/>
                <c:pt idx="0">
                  <c:v>1 to 30 days</c:v>
                </c:pt>
                <c:pt idx="1">
                  <c:v>31 to 60 days</c:v>
                </c:pt>
                <c:pt idx="2">
                  <c:v>61 to 90 days</c:v>
                </c:pt>
                <c:pt idx="3">
                  <c:v>91 to 112 days</c:v>
                </c:pt>
                <c:pt idx="4">
                  <c:v>112 to farrowing</c:v>
                </c:pt>
              </c:strCache>
            </c:strRef>
          </c:cat>
          <c:val>
            <c:numRef>
              <c:f>'Sirelines, metric'!#REF!</c:f>
              <c:numCache>
                <c:formatCode>General</c:formatCode>
                <c:ptCount val="1"/>
                <c:pt idx="0">
                  <c:v>1</c:v>
                </c:pt>
              </c:numCache>
            </c:numRef>
          </c:val>
          <c:smooth val="0"/>
          <c:extLst>
            <c:ext xmlns:c16="http://schemas.microsoft.com/office/drawing/2014/chart" uri="{C3380CC4-5D6E-409C-BE32-E72D297353CC}">
              <c16:uniqueId val="{00000004-2DDB-4AE5-B18C-E3519C48A877}"/>
            </c:ext>
          </c:extLst>
        </c:ser>
        <c:dLbls>
          <c:showLegendKey val="0"/>
          <c:showVal val="0"/>
          <c:showCatName val="0"/>
          <c:showSerName val="0"/>
          <c:showPercent val="0"/>
          <c:showBubbleSize val="0"/>
        </c:dLbls>
        <c:marker val="1"/>
        <c:smooth val="0"/>
        <c:axId val="673090104"/>
        <c:axId val="673091416"/>
      </c:lineChart>
      <c:catAx>
        <c:axId val="67309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crossAx val="673091416"/>
        <c:crosses val="autoZero"/>
        <c:auto val="1"/>
        <c:lblAlgn val="ctr"/>
        <c:lblOffset val="100"/>
        <c:noMultiLvlLbl val="0"/>
      </c:catAx>
      <c:valAx>
        <c:axId val="673091416"/>
        <c:scaling>
          <c:orientation val="minMax"/>
          <c:min val="1.3"/>
        </c:scaling>
        <c:delete val="1"/>
        <c:axPos val="l"/>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sz="1600" b="1">
                    <a:solidFill>
                      <a:sysClr val="windowText" lastClr="000000"/>
                    </a:solidFill>
                  </a:rPr>
                  <a:t>kg/day</a:t>
                </a:r>
              </a:p>
            </c:rich>
          </c:tx>
          <c:layout>
            <c:manualLayout>
              <c:xMode val="edge"/>
              <c:yMode val="edge"/>
              <c:x val="1.7938828094795561E-2"/>
              <c:y val="0.42907677295805224"/>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00" sourceLinked="1"/>
        <c:majorTickMark val="out"/>
        <c:minorTickMark val="none"/>
        <c:tickLblPos val="nextTo"/>
        <c:crossAx val="673090104"/>
        <c:crosses val="autoZero"/>
        <c:crossBetween val="midCat"/>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91269968157536"/>
          <c:y val="2.4078137773762491E-2"/>
          <c:w val="0.8799142607174103"/>
          <c:h val="0.8326195683872849"/>
        </c:manualLayout>
      </c:layout>
      <c:lineChart>
        <c:grouping val="standard"/>
        <c:varyColors val="0"/>
        <c:ser>
          <c:idx val="0"/>
          <c:order val="0"/>
          <c:tx>
            <c:strRef>
              <c:f>'I. Herd Sire (metric)'!$D$7</c:f>
              <c:strCache>
                <c:ptCount val="1"/>
                <c:pt idx="0">
                  <c:v>Body weight (kg) - Normal</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'I. Herd Sire (metric)'!$B$8:$B$14</c:f>
              <c:strCache>
                <c:ptCount val="7"/>
                <c:pt idx="0">
                  <c:v>P0</c:v>
                </c:pt>
                <c:pt idx="1">
                  <c:v>P1</c:v>
                </c:pt>
                <c:pt idx="2">
                  <c:v>P2</c:v>
                </c:pt>
                <c:pt idx="3">
                  <c:v>P3</c:v>
                </c:pt>
                <c:pt idx="4">
                  <c:v>P4</c:v>
                </c:pt>
                <c:pt idx="5">
                  <c:v>P5</c:v>
                </c:pt>
                <c:pt idx="6">
                  <c:v>P6+</c:v>
                </c:pt>
              </c:strCache>
            </c:strRef>
          </c:cat>
          <c:val>
            <c:numRef>
              <c:f>'I. Herd Sire (metric)'!$D$8:$D$14</c:f>
              <c:numCache>
                <c:formatCode>0</c:formatCode>
                <c:ptCount val="7"/>
                <c:pt idx="0">
                  <c:v>170</c:v>
                </c:pt>
                <c:pt idx="1">
                  <c:v>197.49979999999999</c:v>
                </c:pt>
                <c:pt idx="2">
                  <c:v>217.71379999999999</c:v>
                </c:pt>
                <c:pt idx="3">
                  <c:v>231.71339999999998</c:v>
                </c:pt>
                <c:pt idx="4">
                  <c:v>240.57</c:v>
                </c:pt>
                <c:pt idx="5">
                  <c:v>245.35499999999999</c:v>
                </c:pt>
                <c:pt idx="6">
                  <c:v>247.13979999999998</c:v>
                </c:pt>
              </c:numCache>
            </c:numRef>
          </c:val>
          <c:smooth val="0"/>
          <c:extLst>
            <c:ext xmlns:c16="http://schemas.microsoft.com/office/drawing/2014/chart" uri="{C3380CC4-5D6E-409C-BE32-E72D297353CC}">
              <c16:uniqueId val="{00000000-3E84-43CA-B768-16BE5CE8E3F8}"/>
            </c:ext>
          </c:extLst>
        </c:ser>
        <c:ser>
          <c:idx val="2"/>
          <c:order val="1"/>
          <c:tx>
            <c:strRef>
              <c:f>'I. Herd Sire (metric)'!$G$7</c:f>
              <c:strCache>
                <c:ptCount val="1"/>
                <c:pt idx="0">
                  <c:v>Body weight (kg) - Fat herd</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strRef>
              <c:f>'I. Herd Sire (metric)'!$B$8:$B$14</c:f>
              <c:strCache>
                <c:ptCount val="7"/>
                <c:pt idx="0">
                  <c:v>P0</c:v>
                </c:pt>
                <c:pt idx="1">
                  <c:v>P1</c:v>
                </c:pt>
                <c:pt idx="2">
                  <c:v>P2</c:v>
                </c:pt>
                <c:pt idx="3">
                  <c:v>P3</c:v>
                </c:pt>
                <c:pt idx="4">
                  <c:v>P4</c:v>
                </c:pt>
                <c:pt idx="5">
                  <c:v>P5</c:v>
                </c:pt>
                <c:pt idx="6">
                  <c:v>P6+</c:v>
                </c:pt>
              </c:strCache>
            </c:strRef>
          </c:cat>
          <c:val>
            <c:numRef>
              <c:f>'I. Herd Sire (metric)'!$G$8:$G$14</c:f>
              <c:numCache>
                <c:formatCode>0</c:formatCode>
                <c:ptCount val="7"/>
                <c:pt idx="0">
                  <c:v>170</c:v>
                </c:pt>
                <c:pt idx="1">
                  <c:v>195.71430000000001</c:v>
                </c:pt>
                <c:pt idx="2">
                  <c:v>214.6001</c:v>
                </c:pt>
                <c:pt idx="3">
                  <c:v>227.5146</c:v>
                </c:pt>
                <c:pt idx="4">
                  <c:v>235.315</c:v>
                </c:pt>
                <c:pt idx="5">
                  <c:v>238.85849999999999</c:v>
                </c:pt>
                <c:pt idx="6">
                  <c:v>239.00229999999999</c:v>
                </c:pt>
              </c:numCache>
            </c:numRef>
          </c:val>
          <c:smooth val="0"/>
          <c:extLst>
            <c:ext xmlns:c16="http://schemas.microsoft.com/office/drawing/2014/chart" uri="{C3380CC4-5D6E-409C-BE32-E72D297353CC}">
              <c16:uniqueId val="{00000001-3E84-43CA-B768-16BE5CE8E3F8}"/>
            </c:ext>
          </c:extLst>
        </c:ser>
        <c:dLbls>
          <c:showLegendKey val="0"/>
          <c:showVal val="0"/>
          <c:showCatName val="0"/>
          <c:showSerName val="0"/>
          <c:showPercent val="0"/>
          <c:showBubbleSize val="0"/>
        </c:dLbls>
        <c:smooth val="0"/>
        <c:axId val="64949248"/>
        <c:axId val="64959232"/>
      </c:lineChart>
      <c:catAx>
        <c:axId val="64949248"/>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0" spcFirstLastPara="1" vertOverflow="ellipsis" wrap="square" anchor="ctr" anchorCtr="1"/>
          <a:lstStyle/>
          <a:p>
            <a:pPr>
              <a:defRPr sz="1200" b="1" i="0" u="none" strike="noStrike" kern="1200" baseline="0">
                <a:solidFill>
                  <a:srgbClr val="00B050"/>
                </a:solidFill>
                <a:latin typeface="+mn-lt"/>
                <a:ea typeface="+mn-ea"/>
                <a:cs typeface="+mn-cs"/>
              </a:defRPr>
            </a:pPr>
            <a:endParaRPr lang="en-US"/>
          </a:p>
        </c:txPr>
        <c:crossAx val="64959232"/>
        <c:crosses val="autoZero"/>
        <c:auto val="1"/>
        <c:lblAlgn val="ctr"/>
        <c:lblOffset val="100"/>
        <c:noMultiLvlLbl val="0"/>
      </c:catAx>
      <c:valAx>
        <c:axId val="64959232"/>
        <c:scaling>
          <c:orientation val="minMax"/>
          <c:min val="120"/>
        </c:scaling>
        <c:delete val="0"/>
        <c:axPos val="l"/>
        <c:numFmt formatCode="0" sourceLinked="1"/>
        <c:majorTickMark val="none"/>
        <c:minorTickMark val="none"/>
        <c:tickLblPos val="nextTo"/>
        <c:spPr>
          <a:noFill/>
          <a:ln>
            <a:noFill/>
          </a:ln>
          <a:effectLst/>
        </c:spPr>
        <c:txPr>
          <a:bodyPr rot="0" spcFirstLastPara="1" vertOverflow="ellipsis" wrap="square" anchor="ctr" anchorCtr="1"/>
          <a:lstStyle/>
          <a:p>
            <a:pPr>
              <a:defRPr sz="1800" b="1" i="0" u="none" strike="noStrike" kern="1200" baseline="0">
                <a:solidFill>
                  <a:schemeClr val="lt1">
                    <a:lumMod val="85000"/>
                  </a:schemeClr>
                </a:solidFill>
                <a:latin typeface="+mn-lt"/>
                <a:ea typeface="+mn-ea"/>
                <a:cs typeface="+mn-cs"/>
              </a:defRPr>
            </a:pPr>
            <a:endParaRPr lang="en-US"/>
          </a:p>
        </c:txPr>
        <c:crossAx val="64949248"/>
        <c:crosses val="autoZero"/>
        <c:crossBetween val="between"/>
        <c:majorUnit val="25"/>
      </c:valAx>
      <c:spPr>
        <a:noFill/>
        <a:ln>
          <a:noFill/>
        </a:ln>
        <a:effectLst/>
      </c:spPr>
    </c:plotArea>
    <c:legend>
      <c:legendPos val="b"/>
      <c:layout>
        <c:manualLayout>
          <c:xMode val="edge"/>
          <c:yMode val="edge"/>
          <c:x val="0.51321658589694608"/>
          <c:y val="0.45727032874973578"/>
          <c:w val="0.39043751382469283"/>
          <c:h val="0.3222490097775457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000000000001077" l="0.70000000000000062" r="0.70000000000000062" t="0.750000000000010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91269968157536"/>
          <c:y val="2.4078137773762491E-2"/>
          <c:w val="0.8799142607174103"/>
          <c:h val="0.8326195683872849"/>
        </c:manualLayout>
      </c:layout>
      <c:lineChart>
        <c:grouping val="standard"/>
        <c:varyColors val="0"/>
        <c:ser>
          <c:idx val="0"/>
          <c:order val="0"/>
          <c:tx>
            <c:strRef>
              <c:f>'II. Herd Maternal (metric)'!$D$7</c:f>
              <c:strCache>
                <c:ptCount val="1"/>
                <c:pt idx="0">
                  <c:v>Body weight (kg) - Normal</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'II. Herd Maternal (metric)'!$B$8:$B$14</c:f>
              <c:strCache>
                <c:ptCount val="7"/>
                <c:pt idx="0">
                  <c:v>P0</c:v>
                </c:pt>
                <c:pt idx="1">
                  <c:v>P1</c:v>
                </c:pt>
                <c:pt idx="2">
                  <c:v>P2</c:v>
                </c:pt>
                <c:pt idx="3">
                  <c:v>P3</c:v>
                </c:pt>
                <c:pt idx="4">
                  <c:v>P4</c:v>
                </c:pt>
                <c:pt idx="5">
                  <c:v>P5</c:v>
                </c:pt>
                <c:pt idx="6">
                  <c:v>P6+</c:v>
                </c:pt>
              </c:strCache>
            </c:strRef>
          </c:cat>
          <c:val>
            <c:numRef>
              <c:f>'II. Herd Maternal (metric)'!$D$8:$D$14</c:f>
              <c:numCache>
                <c:formatCode>0</c:formatCode>
                <c:ptCount val="7"/>
                <c:pt idx="0">
                  <c:v>145</c:v>
                </c:pt>
                <c:pt idx="1">
                  <c:v>172.49979999999999</c:v>
                </c:pt>
                <c:pt idx="2">
                  <c:v>192.71379999999999</c:v>
                </c:pt>
                <c:pt idx="3">
                  <c:v>206.71339999999998</c:v>
                </c:pt>
                <c:pt idx="4">
                  <c:v>215.57</c:v>
                </c:pt>
                <c:pt idx="5">
                  <c:v>220.35499999999999</c:v>
                </c:pt>
                <c:pt idx="6">
                  <c:v>222.13979999999998</c:v>
                </c:pt>
              </c:numCache>
            </c:numRef>
          </c:val>
          <c:smooth val="0"/>
          <c:extLst>
            <c:ext xmlns:c16="http://schemas.microsoft.com/office/drawing/2014/chart" uri="{C3380CC4-5D6E-409C-BE32-E72D297353CC}">
              <c16:uniqueId val="{00000000-A194-4768-9A13-7FFD5E319D23}"/>
            </c:ext>
          </c:extLst>
        </c:ser>
        <c:ser>
          <c:idx val="2"/>
          <c:order val="1"/>
          <c:tx>
            <c:strRef>
              <c:f>'II. Herd Maternal (metric)'!$G$7</c:f>
              <c:strCache>
                <c:ptCount val="1"/>
                <c:pt idx="0">
                  <c:v>Body weight (kg) - Fat herd</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strRef>
              <c:f>'II. Herd Maternal (metric)'!$B$8:$B$14</c:f>
              <c:strCache>
                <c:ptCount val="7"/>
                <c:pt idx="0">
                  <c:v>P0</c:v>
                </c:pt>
                <c:pt idx="1">
                  <c:v>P1</c:v>
                </c:pt>
                <c:pt idx="2">
                  <c:v>P2</c:v>
                </c:pt>
                <c:pt idx="3">
                  <c:v>P3</c:v>
                </c:pt>
                <c:pt idx="4">
                  <c:v>P4</c:v>
                </c:pt>
                <c:pt idx="5">
                  <c:v>P5</c:v>
                </c:pt>
                <c:pt idx="6">
                  <c:v>P6+</c:v>
                </c:pt>
              </c:strCache>
            </c:strRef>
          </c:cat>
          <c:val>
            <c:numRef>
              <c:f>'II. Herd Maternal (metric)'!$G$8:$G$14</c:f>
              <c:numCache>
                <c:formatCode>0</c:formatCode>
                <c:ptCount val="7"/>
                <c:pt idx="0">
                  <c:v>145</c:v>
                </c:pt>
                <c:pt idx="1">
                  <c:v>172.49979999999999</c:v>
                </c:pt>
                <c:pt idx="2">
                  <c:v>192.71379999999999</c:v>
                </c:pt>
                <c:pt idx="3">
                  <c:v>206.71339999999998</c:v>
                </c:pt>
                <c:pt idx="4">
                  <c:v>215.57</c:v>
                </c:pt>
                <c:pt idx="5">
                  <c:v>220.35499999999999</c:v>
                </c:pt>
                <c:pt idx="6">
                  <c:v>222.13979999999998</c:v>
                </c:pt>
              </c:numCache>
            </c:numRef>
          </c:val>
          <c:smooth val="0"/>
          <c:extLst>
            <c:ext xmlns:c16="http://schemas.microsoft.com/office/drawing/2014/chart" uri="{C3380CC4-5D6E-409C-BE32-E72D297353CC}">
              <c16:uniqueId val="{00000001-A194-4768-9A13-7FFD5E319D23}"/>
            </c:ext>
          </c:extLst>
        </c:ser>
        <c:dLbls>
          <c:showLegendKey val="0"/>
          <c:showVal val="0"/>
          <c:showCatName val="0"/>
          <c:showSerName val="0"/>
          <c:showPercent val="0"/>
          <c:showBubbleSize val="0"/>
        </c:dLbls>
        <c:smooth val="0"/>
        <c:axId val="64949248"/>
        <c:axId val="64959232"/>
      </c:lineChart>
      <c:catAx>
        <c:axId val="64949248"/>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0" spcFirstLastPara="1" vertOverflow="ellipsis" wrap="square" anchor="ctr" anchorCtr="1"/>
          <a:lstStyle/>
          <a:p>
            <a:pPr>
              <a:defRPr sz="1200" b="1" i="0" u="none" strike="noStrike" kern="1200" baseline="0">
                <a:solidFill>
                  <a:srgbClr val="00B050"/>
                </a:solidFill>
                <a:latin typeface="+mn-lt"/>
                <a:ea typeface="+mn-ea"/>
                <a:cs typeface="+mn-cs"/>
              </a:defRPr>
            </a:pPr>
            <a:endParaRPr lang="en-US"/>
          </a:p>
        </c:txPr>
        <c:crossAx val="64959232"/>
        <c:crosses val="autoZero"/>
        <c:auto val="1"/>
        <c:lblAlgn val="ctr"/>
        <c:lblOffset val="100"/>
        <c:noMultiLvlLbl val="0"/>
      </c:catAx>
      <c:valAx>
        <c:axId val="64959232"/>
        <c:scaling>
          <c:orientation val="minMax"/>
          <c:min val="120"/>
        </c:scaling>
        <c:delete val="0"/>
        <c:axPos val="l"/>
        <c:numFmt formatCode="0" sourceLinked="1"/>
        <c:majorTickMark val="none"/>
        <c:minorTickMark val="none"/>
        <c:tickLblPos val="nextTo"/>
        <c:spPr>
          <a:noFill/>
          <a:ln>
            <a:noFill/>
          </a:ln>
          <a:effectLst/>
        </c:spPr>
        <c:txPr>
          <a:bodyPr rot="0" spcFirstLastPara="1" vertOverflow="ellipsis" wrap="square" anchor="ctr" anchorCtr="1"/>
          <a:lstStyle/>
          <a:p>
            <a:pPr>
              <a:defRPr sz="1800" b="1" i="0" u="none" strike="noStrike" kern="1200" baseline="0">
                <a:solidFill>
                  <a:schemeClr val="lt1">
                    <a:lumMod val="85000"/>
                  </a:schemeClr>
                </a:solidFill>
                <a:latin typeface="+mn-lt"/>
                <a:ea typeface="+mn-ea"/>
                <a:cs typeface="+mn-cs"/>
              </a:defRPr>
            </a:pPr>
            <a:endParaRPr lang="en-US"/>
          </a:p>
        </c:txPr>
        <c:crossAx val="64949248"/>
        <c:crosses val="autoZero"/>
        <c:crossBetween val="between"/>
        <c:majorUnit val="25"/>
      </c:valAx>
      <c:spPr>
        <a:noFill/>
        <a:ln>
          <a:noFill/>
        </a:ln>
        <a:effectLst/>
      </c:spPr>
    </c:plotArea>
    <c:legend>
      <c:legendPos val="b"/>
      <c:layout>
        <c:manualLayout>
          <c:xMode val="edge"/>
          <c:yMode val="edge"/>
          <c:x val="0.51321658589694608"/>
          <c:y val="0.45727032874973578"/>
          <c:w val="0.39043751382469283"/>
          <c:h val="0.3222490097775457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000000000001077" l="0.70000000000000062" r="0.70000000000000062" t="0.7500000000000107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dropbox.com/sh/oyd1afiu8m3uobm/AAACLm7wk0xIjRTCvDvObLOPa?dl=0" TargetMode="Externa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http://dynamicfemalefeeding.pic.com/" TargetMode="External"/><Relationship Id="rId5" Type="http://schemas.openxmlformats.org/officeDocument/2006/relationships/image" Target="../media/image3.png"/><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47625</xdr:rowOff>
    </xdr:from>
    <xdr:to>
      <xdr:col>15</xdr:col>
      <xdr:colOff>191975</xdr:colOff>
      <xdr:row>9</xdr:row>
      <xdr:rowOff>110967</xdr:rowOff>
    </xdr:to>
    <xdr:pic>
      <xdr:nvPicPr>
        <xdr:cNvPr id="3" name="Picture 2">
          <a:extLst>
            <a:ext uri="{FF2B5EF4-FFF2-40B4-BE49-F238E27FC236}">
              <a16:creationId xmlns:a16="http://schemas.microsoft.com/office/drawing/2014/main" id="{002BB9B9-A6B6-44F2-A23F-290EB65A7F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228600"/>
          <a:ext cx="9231200" cy="1511142"/>
        </a:xfrm>
        <a:prstGeom prst="rect">
          <a:avLst/>
        </a:prstGeom>
      </xdr:spPr>
    </xdr:pic>
    <xdr:clientData/>
  </xdr:twoCellAnchor>
  <xdr:twoCellAnchor>
    <xdr:from>
      <xdr:col>2</xdr:col>
      <xdr:colOff>278607</xdr:colOff>
      <xdr:row>1</xdr:row>
      <xdr:rowOff>16669</xdr:rowOff>
    </xdr:from>
    <xdr:to>
      <xdr:col>11</xdr:col>
      <xdr:colOff>309563</xdr:colOff>
      <xdr:row>8</xdr:row>
      <xdr:rowOff>8096</xdr:rowOff>
    </xdr:to>
    <xdr:sp macro="" textlink="">
      <xdr:nvSpPr>
        <xdr:cNvPr id="4" name="TextBox 3">
          <a:extLst>
            <a:ext uri="{FF2B5EF4-FFF2-40B4-BE49-F238E27FC236}">
              <a16:creationId xmlns:a16="http://schemas.microsoft.com/office/drawing/2014/main" id="{3BF837B4-FE4E-4BB1-9303-4941DCED8AC3}"/>
            </a:ext>
          </a:extLst>
        </xdr:cNvPr>
        <xdr:cNvSpPr txBox="1"/>
      </xdr:nvSpPr>
      <xdr:spPr>
        <a:xfrm>
          <a:off x="1493045" y="207169"/>
          <a:ext cx="5495924" cy="1324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2800" b="1">
              <a:solidFill>
                <a:srgbClr val="225480"/>
              </a:solidFill>
            </a:rPr>
            <a:t>PIC Feeding Levels for </a:t>
          </a:r>
        </a:p>
        <a:p>
          <a:pPr algn="l"/>
          <a:r>
            <a:rPr lang="en-US" sz="2800" b="1">
              <a:solidFill>
                <a:srgbClr val="225480"/>
              </a:solidFill>
            </a:rPr>
            <a:t>Maternal</a:t>
          </a:r>
          <a:r>
            <a:rPr lang="en-US" sz="2800" b="1" baseline="0">
              <a:solidFill>
                <a:srgbClr val="225480"/>
              </a:solidFill>
            </a:rPr>
            <a:t> </a:t>
          </a:r>
          <a:r>
            <a:rPr lang="en-US" sz="2800" b="1">
              <a:solidFill>
                <a:srgbClr val="225480"/>
              </a:solidFill>
            </a:rPr>
            <a:t>Females</a:t>
          </a:r>
        </a:p>
      </xdr:txBody>
    </xdr:sp>
    <xdr:clientData/>
  </xdr:twoCellAnchor>
  <xdr:twoCellAnchor>
    <xdr:from>
      <xdr:col>0</xdr:col>
      <xdr:colOff>590550</xdr:colOff>
      <xdr:row>11</xdr:row>
      <xdr:rowOff>114300</xdr:rowOff>
    </xdr:from>
    <xdr:to>
      <xdr:col>15</xdr:col>
      <xdr:colOff>104775</xdr:colOff>
      <xdr:row>49</xdr:row>
      <xdr:rowOff>133350</xdr:rowOff>
    </xdr:to>
    <xdr:sp macro="" textlink="">
      <xdr:nvSpPr>
        <xdr:cNvPr id="6" name="TextBox 5">
          <a:extLst>
            <a:ext uri="{FF2B5EF4-FFF2-40B4-BE49-F238E27FC236}">
              <a16:creationId xmlns:a16="http://schemas.microsoft.com/office/drawing/2014/main" id="{F1E7F6A3-4AD1-485A-B15A-7462B0FA557D}"/>
            </a:ext>
          </a:extLst>
        </xdr:cNvPr>
        <xdr:cNvSpPr txBox="1"/>
      </xdr:nvSpPr>
      <xdr:spPr>
        <a:xfrm>
          <a:off x="590550" y="2105025"/>
          <a:ext cx="8658225" cy="689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50" b="1"/>
            <a:t>Tool features:</a:t>
          </a:r>
        </a:p>
        <a:p>
          <a:endParaRPr lang="en-US" sz="1350">
            <a:solidFill>
              <a:schemeClr val="dk1"/>
            </a:solidFill>
            <a:latin typeface="+mn-lt"/>
            <a:ea typeface="+mn-ea"/>
            <a:cs typeface="+mn-cs"/>
          </a:endParaRPr>
        </a:p>
        <a:p>
          <a:r>
            <a:rPr lang="en-US" sz="1350">
              <a:solidFill>
                <a:schemeClr val="dk1"/>
              </a:solidFill>
              <a:latin typeface="+mn-lt"/>
              <a:ea typeface="+mn-ea"/>
              <a:cs typeface="+mn-cs"/>
            </a:rPr>
            <a:t>          This tool is designed to calculate the recommended feeding levels categorized by body condition score for PIC </a:t>
          </a:r>
          <a:r>
            <a:rPr lang="en-US" sz="1350">
              <a:solidFill>
                <a:schemeClr val="tx1"/>
              </a:solidFill>
            </a:rPr>
            <a:t>maternal  dams during gestation. The calculations are based on the user-defined energy level of the gestation diet</a:t>
          </a:r>
          <a:r>
            <a:rPr lang="en-US" sz="1350" baseline="0">
              <a:solidFill>
                <a:schemeClr val="tx1"/>
              </a:solidFill>
            </a:rPr>
            <a:t> </a:t>
          </a:r>
          <a:r>
            <a:rPr lang="en-US" sz="1350"/>
            <a:t>and the recommended ME intake per day. The tool also provides</a:t>
          </a:r>
          <a:r>
            <a:rPr lang="en-US" sz="1350" baseline="0"/>
            <a:t> the </a:t>
          </a:r>
          <a:r>
            <a:rPr lang="en-US" sz="1350"/>
            <a:t>minimum daily feed allocation for maintenance, which is especially critical during the</a:t>
          </a:r>
          <a:r>
            <a:rPr lang="en-US" sz="1350" baseline="0"/>
            <a:t> first 30 days of gestation. Feeding below maintenance leads to increased embryonic losses. </a:t>
          </a:r>
          <a:r>
            <a:rPr lang="en-US" sz="1350"/>
            <a:t>An option to estimate body weight using flank measurement is available in the appendix table.</a:t>
          </a:r>
        </a:p>
        <a:p>
          <a:endParaRPr lang="en-US" sz="1350"/>
        </a:p>
        <a:p>
          <a:endParaRPr lang="en-US" sz="1350"/>
        </a:p>
        <a:p>
          <a:r>
            <a:rPr lang="en-US" sz="1350" b="1"/>
            <a:t>Steps to use:</a:t>
          </a:r>
        </a:p>
        <a:p>
          <a:endParaRPr lang="en-US" sz="1350"/>
        </a:p>
        <a:p>
          <a:r>
            <a:rPr lang="en-US" sz="1350"/>
            <a:t>1. This version is designed for</a:t>
          </a:r>
          <a:r>
            <a:rPr lang="en-US" sz="1350" baseline="0"/>
            <a:t> metric</a:t>
          </a:r>
          <a:r>
            <a:rPr lang="en-US" sz="1350"/>
            <a:t> system; the imperial version is available</a:t>
          </a:r>
          <a:r>
            <a:rPr lang="en-US" sz="1350" baseline="0"/>
            <a:t> </a:t>
          </a:r>
          <a:r>
            <a:rPr lang="en-US" sz="1350"/>
            <a:t>separately.</a:t>
          </a:r>
        </a:p>
        <a:p>
          <a:r>
            <a:rPr lang="en-US" sz="1350"/>
            <a:t>2. Enter the input parameters in the yellow cells: </a:t>
          </a:r>
        </a:p>
        <a:p>
          <a:r>
            <a:rPr lang="en-US" sz="1350"/>
            <a:t>	a. Set the energy system (i.e. ME or NE) and the dietary energy level of</a:t>
          </a:r>
          <a:r>
            <a:rPr lang="en-US" sz="1350" baseline="0"/>
            <a:t> </a:t>
          </a:r>
          <a:r>
            <a:rPr lang="en-US" sz="1350"/>
            <a:t>the gestation diet. The tool works 	using ME. Net energy is converted to ME based on dietary NDF (i.e. 74.5%</a:t>
          </a:r>
          <a:r>
            <a:rPr lang="en-US" sz="1350" baseline="0"/>
            <a:t> </a:t>
          </a:r>
          <a:r>
            <a:rPr lang="en-US" sz="1350"/>
            <a:t>for NDF &gt;12% and 76.0% for NDF 	&lt;12%).  	</a:t>
          </a:r>
        </a:p>
        <a:p>
          <a:endParaRPr lang="en-US" sz="1350"/>
        </a:p>
        <a:p>
          <a:r>
            <a:rPr lang="en-US" sz="1350" b="1"/>
            <a:t>Outputs:</a:t>
          </a:r>
        </a:p>
        <a:p>
          <a:endParaRPr lang="en-US" sz="1350">
            <a:solidFill>
              <a:schemeClr val="dk1"/>
            </a:solidFill>
            <a:latin typeface="+mn-lt"/>
            <a:ea typeface="+mn-ea"/>
            <a:cs typeface="+mn-cs"/>
          </a:endParaRPr>
        </a:p>
        <a:p>
          <a:r>
            <a:rPr lang="en-US" sz="1350" b="1">
              <a:solidFill>
                <a:schemeClr val="dk1"/>
              </a:solidFill>
              <a:latin typeface="+mn-lt"/>
              <a:ea typeface="+mn-ea"/>
              <a:cs typeface="+mn-cs"/>
            </a:rPr>
            <a:t>Table 1. </a:t>
          </a:r>
          <a:r>
            <a:rPr lang="en-US" sz="1350">
              <a:solidFill>
                <a:schemeClr val="dk1"/>
              </a:solidFill>
              <a:latin typeface="+mn-lt"/>
              <a:ea typeface="+mn-ea"/>
              <a:cs typeface="+mn-cs"/>
            </a:rPr>
            <a:t>The table presents the recommended feeding levels</a:t>
          </a:r>
          <a:r>
            <a:rPr lang="en-US" sz="1350" baseline="0">
              <a:solidFill>
                <a:schemeClr val="dk1"/>
              </a:solidFill>
              <a:latin typeface="+mn-lt"/>
              <a:ea typeface="+mn-ea"/>
              <a:cs typeface="+mn-cs"/>
            </a:rPr>
            <a:t> based </a:t>
          </a:r>
          <a:r>
            <a:rPr lang="en-US" sz="1350">
              <a:solidFill>
                <a:schemeClr val="dk1"/>
              </a:solidFill>
              <a:latin typeface="+mn-lt"/>
              <a:ea typeface="+mn-ea"/>
              <a:cs typeface="+mn-cs"/>
            </a:rPr>
            <a:t>on body condition score which</a:t>
          </a:r>
          <a:r>
            <a:rPr lang="en-US" sz="1350" baseline="0">
              <a:solidFill>
                <a:schemeClr val="dk1"/>
              </a:solidFill>
              <a:latin typeface="+mn-lt"/>
              <a:ea typeface="+mn-ea"/>
              <a:cs typeface="+mn-cs"/>
            </a:rPr>
            <a:t> is </a:t>
          </a:r>
          <a:r>
            <a:rPr lang="en-US" sz="1350">
              <a:solidFill>
                <a:schemeClr val="dk1"/>
              </a:solidFill>
              <a:latin typeface="+mn-lt"/>
              <a:ea typeface="+mn-ea"/>
              <a:cs typeface="+mn-cs"/>
            </a:rPr>
            <a:t>determined by using the sow caliper. Feed intake is calculated from the recommended </a:t>
          </a:r>
          <a:r>
            <a:rPr lang="en-US" sz="1350"/>
            <a:t>ME intake per day and diet energy level</a:t>
          </a:r>
          <a:r>
            <a:rPr lang="en-US" sz="1350" baseline="0"/>
            <a:t>. This table does not take body weight into account. </a:t>
          </a:r>
        </a:p>
        <a:p>
          <a:endParaRPr lang="en-US" sz="1350"/>
        </a:p>
        <a:p>
          <a:r>
            <a:rPr lang="en-US" sz="1350" b="1"/>
            <a:t>Table 2. </a:t>
          </a:r>
          <a:r>
            <a:rPr lang="en-US" sz="1350" b="0"/>
            <a:t>This table provides the estimated body</a:t>
          </a:r>
          <a:r>
            <a:rPr lang="en-US" sz="1350" b="0" baseline="0"/>
            <a:t> weight of gilts and sows at breeding given flank measurements, and correspondingly the minimum feed intake. Flank measurements and body weights are presented in a range. The minimum feed intake is calculated based on the upper weight in each range. For specific measurements, users can use the appendix 1.</a:t>
          </a:r>
        </a:p>
        <a:p>
          <a:endParaRPr lang="en-US" sz="1350"/>
        </a:p>
        <a:p>
          <a:endParaRPr lang="en-US" sz="1350"/>
        </a:p>
        <a:p>
          <a:r>
            <a:rPr lang="en-US" sz="1350" b="1"/>
            <a:t>For questions on this tool please contact the PIC Nutrition Team.</a:t>
          </a:r>
        </a:p>
        <a:p>
          <a:endParaRPr lang="en-US" sz="1350"/>
        </a:p>
        <a:p>
          <a:endParaRPr lang="en-US" sz="1350"/>
        </a:p>
        <a:p>
          <a:endParaRPr lang="en-US" sz="13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4</xdr:col>
      <xdr:colOff>1564481</xdr:colOff>
      <xdr:row>4</xdr:row>
      <xdr:rowOff>251148</xdr:rowOff>
    </xdr:to>
    <xdr:pic>
      <xdr:nvPicPr>
        <xdr:cNvPr id="3" name="Picture 2">
          <a:extLst>
            <a:ext uri="{FF2B5EF4-FFF2-40B4-BE49-F238E27FC236}">
              <a16:creationId xmlns:a16="http://schemas.microsoft.com/office/drawing/2014/main" id="{133C8ECB-B341-4949-8C39-484D050B74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04775"/>
          <a:ext cx="9136856" cy="1512258"/>
        </a:xfrm>
        <a:prstGeom prst="rect">
          <a:avLst/>
        </a:prstGeom>
      </xdr:spPr>
    </xdr:pic>
    <xdr:clientData/>
  </xdr:twoCellAnchor>
  <xdr:twoCellAnchor>
    <xdr:from>
      <xdr:col>1</xdr:col>
      <xdr:colOff>871537</xdr:colOff>
      <xdr:row>0</xdr:row>
      <xdr:rowOff>102394</xdr:rowOff>
    </xdr:from>
    <xdr:to>
      <xdr:col>3</xdr:col>
      <xdr:colOff>750888</xdr:colOff>
      <xdr:row>4</xdr:row>
      <xdr:rowOff>2381</xdr:rowOff>
    </xdr:to>
    <xdr:sp macro="" textlink="">
      <xdr:nvSpPr>
        <xdr:cNvPr id="4" name="TextBox 3">
          <a:extLst>
            <a:ext uri="{FF2B5EF4-FFF2-40B4-BE49-F238E27FC236}">
              <a16:creationId xmlns:a16="http://schemas.microsoft.com/office/drawing/2014/main" id="{06D76F6E-46CB-4931-95DC-8C89652EB80D}"/>
            </a:ext>
          </a:extLst>
        </xdr:cNvPr>
        <xdr:cNvSpPr txBox="1"/>
      </xdr:nvSpPr>
      <xdr:spPr>
        <a:xfrm>
          <a:off x="1466850" y="102394"/>
          <a:ext cx="5141913" cy="128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2800" b="1">
              <a:solidFill>
                <a:srgbClr val="225480"/>
              </a:solidFill>
            </a:rPr>
            <a:t>PIC Feeding Levels for Maternal Females</a:t>
          </a:r>
        </a:p>
      </xdr:txBody>
    </xdr:sp>
    <xdr:clientData/>
  </xdr:twoCellAnchor>
  <xdr:twoCellAnchor>
    <xdr:from>
      <xdr:col>10</xdr:col>
      <xdr:colOff>828675</xdr:colOff>
      <xdr:row>44</xdr:row>
      <xdr:rowOff>103955</xdr:rowOff>
    </xdr:from>
    <xdr:to>
      <xdr:col>12</xdr:col>
      <xdr:colOff>210263</xdr:colOff>
      <xdr:row>45</xdr:row>
      <xdr:rowOff>230199</xdr:rowOff>
    </xdr:to>
    <xdr:sp macro="" textlink="">
      <xdr:nvSpPr>
        <xdr:cNvPr id="8" name="TextBox 7">
          <a:extLst>
            <a:ext uri="{FF2B5EF4-FFF2-40B4-BE49-F238E27FC236}">
              <a16:creationId xmlns:a16="http://schemas.microsoft.com/office/drawing/2014/main" id="{C70F490D-2D7C-4B79-896C-2D9DEB2E57CC}"/>
            </a:ext>
          </a:extLst>
        </xdr:cNvPr>
        <xdr:cNvSpPr txBox="1"/>
      </xdr:nvSpPr>
      <xdr:spPr>
        <a:xfrm>
          <a:off x="18192750" y="5514155"/>
          <a:ext cx="2239088" cy="678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solidFill>
                <a:srgbClr val="FF0000"/>
              </a:solidFill>
            </a:rPr>
            <a:t>Feeding Lactation diet</a:t>
          </a:r>
        </a:p>
      </xdr:txBody>
    </xdr:sp>
    <xdr:clientData/>
  </xdr:twoCellAnchor>
  <xdr:twoCellAnchor>
    <xdr:from>
      <xdr:col>11</xdr:col>
      <xdr:colOff>379526</xdr:colOff>
      <xdr:row>17</xdr:row>
      <xdr:rowOff>171450</xdr:rowOff>
    </xdr:from>
    <xdr:to>
      <xdr:col>11</xdr:col>
      <xdr:colOff>617430</xdr:colOff>
      <xdr:row>44</xdr:row>
      <xdr:rowOff>90649</xdr:rowOff>
    </xdr:to>
    <xdr:sp macro="" textlink="">
      <xdr:nvSpPr>
        <xdr:cNvPr id="9" name="Arrow: Up 8">
          <a:extLst>
            <a:ext uri="{FF2B5EF4-FFF2-40B4-BE49-F238E27FC236}">
              <a16:creationId xmlns:a16="http://schemas.microsoft.com/office/drawing/2014/main" id="{45DC4650-7273-4D41-819D-CA127D7A0E35}"/>
            </a:ext>
          </a:extLst>
        </xdr:cNvPr>
        <xdr:cNvSpPr/>
      </xdr:nvSpPr>
      <xdr:spPr>
        <a:xfrm>
          <a:off x="19172351" y="5114925"/>
          <a:ext cx="237904" cy="38592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17931</xdr:colOff>
      <xdr:row>0</xdr:row>
      <xdr:rowOff>217083</xdr:rowOff>
    </xdr:from>
    <xdr:to>
      <xdr:col>12</xdr:col>
      <xdr:colOff>93090</xdr:colOff>
      <xdr:row>56</xdr:row>
      <xdr:rowOff>0</xdr:rowOff>
    </xdr:to>
    <xdr:graphicFrame macro="">
      <xdr:nvGraphicFramePr>
        <xdr:cNvPr id="79" name="Chart 78">
          <a:extLst>
            <a:ext uri="{FF2B5EF4-FFF2-40B4-BE49-F238E27FC236}">
              <a16:creationId xmlns:a16="http://schemas.microsoft.com/office/drawing/2014/main" id="{EA962CA5-BA19-4C00-A052-ED1E3A80E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1421964</xdr:colOff>
      <xdr:row>69</xdr:row>
      <xdr:rowOff>13765</xdr:rowOff>
    </xdr:from>
    <xdr:to>
      <xdr:col>11</xdr:col>
      <xdr:colOff>110554</xdr:colOff>
      <xdr:row>86</xdr:row>
      <xdr:rowOff>178586</xdr:rowOff>
    </xdr:to>
    <xdr:grpSp>
      <xdr:nvGrpSpPr>
        <xdr:cNvPr id="100" name="Group 99">
          <a:extLst>
            <a:ext uri="{FF2B5EF4-FFF2-40B4-BE49-F238E27FC236}">
              <a16:creationId xmlns:a16="http://schemas.microsoft.com/office/drawing/2014/main" id="{2CE60E53-BCB1-4E13-B8E2-235A1D2F1C4C}"/>
            </a:ext>
          </a:extLst>
        </xdr:cNvPr>
        <xdr:cNvGrpSpPr/>
      </xdr:nvGrpSpPr>
      <xdr:grpSpPr>
        <a:xfrm>
          <a:off x="11792784" y="9150145"/>
          <a:ext cx="7611610" cy="3921481"/>
          <a:chOff x="11528612" y="9986683"/>
          <a:chExt cx="7611034" cy="3917575"/>
        </a:xfrm>
      </xdr:grpSpPr>
      <xdr:grpSp>
        <xdr:nvGrpSpPr>
          <xdr:cNvPr id="93" name="Group 92">
            <a:hlinkClick xmlns:r="http://schemas.openxmlformats.org/officeDocument/2006/relationships" r:id="rId3"/>
            <a:extLst>
              <a:ext uri="{FF2B5EF4-FFF2-40B4-BE49-F238E27FC236}">
                <a16:creationId xmlns:a16="http://schemas.microsoft.com/office/drawing/2014/main" id="{EC329DB2-4ED4-495D-9194-E1318EB4861C}"/>
              </a:ext>
            </a:extLst>
          </xdr:cNvPr>
          <xdr:cNvGrpSpPr/>
        </xdr:nvGrpSpPr>
        <xdr:grpSpPr>
          <a:xfrm>
            <a:off x="11609293" y="9986683"/>
            <a:ext cx="7530353" cy="3236258"/>
            <a:chOff x="1520318" y="3142581"/>
            <a:chExt cx="6778422" cy="3378543"/>
          </a:xfrm>
        </xdr:grpSpPr>
        <xdr:pic>
          <xdr:nvPicPr>
            <xdr:cNvPr id="94" name="Picture 93">
              <a:extLst>
                <a:ext uri="{FF2B5EF4-FFF2-40B4-BE49-F238E27FC236}">
                  <a16:creationId xmlns:a16="http://schemas.microsoft.com/office/drawing/2014/main" id="{DFC6AAAC-C18D-484C-B1B5-66FD68F310D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34944" y="3142581"/>
              <a:ext cx="5857756" cy="3092832"/>
            </a:xfrm>
            <a:prstGeom prst="rect">
              <a:avLst/>
            </a:prstGeom>
            <a:ln>
              <a:noFill/>
            </a:ln>
          </xdr:spPr>
        </xdr:pic>
        <xdr:sp macro="" textlink="">
          <xdr:nvSpPr>
            <xdr:cNvPr id="95" name="Title 1">
              <a:extLst>
                <a:ext uri="{FF2B5EF4-FFF2-40B4-BE49-F238E27FC236}">
                  <a16:creationId xmlns:a16="http://schemas.microsoft.com/office/drawing/2014/main" id="{53C5931C-50EE-4410-BC49-6EC22D04858F}"/>
                </a:ext>
              </a:extLst>
            </xdr:cNvPr>
            <xdr:cNvSpPr txBox="1">
              <a:spLocks/>
            </xdr:cNvSpPr>
          </xdr:nvSpPr>
          <xdr:spPr>
            <a:xfrm>
              <a:off x="1520318" y="6089289"/>
              <a:ext cx="2607975" cy="429816"/>
            </a:xfrm>
            <a:prstGeom prst="rect">
              <a:avLst/>
            </a:prstGeom>
            <a:ln>
              <a:noFill/>
            </a:ln>
          </xdr:spPr>
          <xdr:txBody>
            <a:bodyPr vert="horz" wrap="square" lIns="68580" tIns="34290" rIns="68580" bIns="3429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rgbClr val="009900"/>
                  </a:solidFill>
                </a:rPr>
                <a:t>None at farrowing</a:t>
              </a:r>
            </a:p>
          </xdr:txBody>
        </xdr:sp>
        <xdr:sp macro="" textlink="">
          <xdr:nvSpPr>
            <xdr:cNvPr id="96" name="Title 1">
              <a:extLst>
                <a:ext uri="{FF2B5EF4-FFF2-40B4-BE49-F238E27FC236}">
                  <a16:creationId xmlns:a16="http://schemas.microsoft.com/office/drawing/2014/main" id="{2E7C0E80-58E0-461D-B4DA-DF8F54B838E0}"/>
                </a:ext>
              </a:extLst>
            </xdr:cNvPr>
            <xdr:cNvSpPr txBox="1">
              <a:spLocks/>
            </xdr:cNvSpPr>
          </xdr:nvSpPr>
          <xdr:spPr>
            <a:xfrm>
              <a:off x="5690765" y="6089289"/>
              <a:ext cx="2607975" cy="429816"/>
            </a:xfrm>
            <a:prstGeom prst="rect">
              <a:avLst/>
            </a:prstGeom>
            <a:ln>
              <a:noFill/>
            </a:ln>
          </xdr:spPr>
          <xdr:txBody>
            <a:bodyPr vert="horz" wrap="square" lIns="68580" tIns="34290" rIns="68580" bIns="3429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rgbClr val="FFC000"/>
                  </a:solidFill>
                </a:rPr>
                <a:t>None at weaning</a:t>
              </a:r>
            </a:p>
          </xdr:txBody>
        </xdr:sp>
        <xdr:sp macro="" textlink="">
          <xdr:nvSpPr>
            <xdr:cNvPr id="97" name="Title 1">
              <a:extLst>
                <a:ext uri="{FF2B5EF4-FFF2-40B4-BE49-F238E27FC236}">
                  <a16:creationId xmlns:a16="http://schemas.microsoft.com/office/drawing/2014/main" id="{3FF45835-3B2D-4FE1-80DA-A909662F5B6E}"/>
                </a:ext>
              </a:extLst>
            </xdr:cNvPr>
            <xdr:cNvSpPr txBox="1">
              <a:spLocks/>
            </xdr:cNvSpPr>
          </xdr:nvSpPr>
          <xdr:spPr>
            <a:xfrm>
              <a:off x="3497415" y="6091308"/>
              <a:ext cx="2732812" cy="429816"/>
            </a:xfrm>
            <a:prstGeom prst="rect">
              <a:avLst/>
            </a:prstGeom>
            <a:ln>
              <a:noFill/>
            </a:ln>
          </xdr:spPr>
          <xdr:txBody>
            <a:bodyPr vert="horz" wrap="square" lIns="68580" tIns="34290" rIns="68580" bIns="3429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rgbClr val="ED2724"/>
                  </a:solidFill>
                </a:rPr>
                <a:t>As many as possible</a:t>
              </a:r>
            </a:p>
          </xdr:txBody>
        </xdr:sp>
      </xdr:grpSp>
      <xdr:sp macro="" textlink="">
        <xdr:nvSpPr>
          <xdr:cNvPr id="99" name="TextBox 98">
            <a:extLst>
              <a:ext uri="{FF2B5EF4-FFF2-40B4-BE49-F238E27FC236}">
                <a16:creationId xmlns:a16="http://schemas.microsoft.com/office/drawing/2014/main" id="{BBEA2B83-3C86-4D49-AF74-C09C15CC9AE6}"/>
              </a:ext>
            </a:extLst>
          </xdr:cNvPr>
          <xdr:cNvSpPr txBox="1"/>
        </xdr:nvSpPr>
        <xdr:spPr>
          <a:xfrm>
            <a:off x="11528612" y="13438094"/>
            <a:ext cx="5325036" cy="4661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tx2"/>
                </a:solidFill>
              </a:rPr>
              <a:t>Fig</a:t>
            </a:r>
            <a:r>
              <a:rPr lang="en-US" sz="1400" b="1" baseline="0">
                <a:solidFill>
                  <a:schemeClr val="tx2"/>
                </a:solidFill>
              </a:rPr>
              <a:t>ure 2. Sow body condition measurement using a sow caliper</a:t>
            </a:r>
            <a:endParaRPr lang="en-US" sz="1400" b="1">
              <a:solidFill>
                <a:schemeClr val="tx2"/>
              </a:solidFill>
            </a:endParaRPr>
          </a:p>
        </xdr:txBody>
      </xdr:sp>
    </xdr:grpSp>
    <xdr:clientData/>
  </xdr:twoCellAnchor>
  <xdr:twoCellAnchor>
    <xdr:from>
      <xdr:col>7</xdr:col>
      <xdr:colOff>31759</xdr:colOff>
      <xdr:row>88</xdr:row>
      <xdr:rowOff>126092</xdr:rowOff>
    </xdr:from>
    <xdr:to>
      <xdr:col>11</xdr:col>
      <xdr:colOff>1024111</xdr:colOff>
      <xdr:row>112</xdr:row>
      <xdr:rowOff>129634</xdr:rowOff>
    </xdr:to>
    <xdr:grpSp>
      <xdr:nvGrpSpPr>
        <xdr:cNvPr id="111" name="Group 110">
          <a:extLst>
            <a:ext uri="{FF2B5EF4-FFF2-40B4-BE49-F238E27FC236}">
              <a16:creationId xmlns:a16="http://schemas.microsoft.com/office/drawing/2014/main" id="{6489D395-E798-4703-B8E2-FFB0974CFBDB}"/>
            </a:ext>
          </a:extLst>
        </xdr:cNvPr>
        <xdr:cNvGrpSpPr/>
      </xdr:nvGrpSpPr>
      <xdr:grpSpPr>
        <a:xfrm>
          <a:off x="10402579" y="13384892"/>
          <a:ext cx="9915372" cy="4392662"/>
          <a:chOff x="10484222" y="15133683"/>
          <a:chExt cx="9938232" cy="4334968"/>
        </a:xfrm>
      </xdr:grpSpPr>
      <xdr:sp macro="" textlink="">
        <xdr:nvSpPr>
          <xdr:cNvPr id="110" name="TextBox 109">
            <a:extLst>
              <a:ext uri="{FF2B5EF4-FFF2-40B4-BE49-F238E27FC236}">
                <a16:creationId xmlns:a16="http://schemas.microsoft.com/office/drawing/2014/main" id="{6EC323EA-B35E-41CD-976E-B6883EBF3473}"/>
              </a:ext>
            </a:extLst>
          </xdr:cNvPr>
          <xdr:cNvSpPr txBox="1"/>
        </xdr:nvSpPr>
        <xdr:spPr>
          <a:xfrm>
            <a:off x="10630348" y="18991729"/>
            <a:ext cx="5346551" cy="476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tx2"/>
                </a:solidFill>
              </a:rPr>
              <a:t>Fig</a:t>
            </a:r>
            <a:r>
              <a:rPr lang="en-US" sz="1400" b="1" baseline="0">
                <a:solidFill>
                  <a:schemeClr val="tx2"/>
                </a:solidFill>
              </a:rPr>
              <a:t>ure 3. Critical time points to evaluate sow body condition</a:t>
            </a:r>
            <a:endParaRPr lang="en-US" sz="1400" b="1">
              <a:solidFill>
                <a:schemeClr val="tx2"/>
              </a:solidFill>
            </a:endParaRPr>
          </a:p>
        </xdr:txBody>
      </xdr:sp>
      <xdr:pic>
        <xdr:nvPicPr>
          <xdr:cNvPr id="109" name="Picture 108">
            <a:extLst>
              <a:ext uri="{FF2B5EF4-FFF2-40B4-BE49-F238E27FC236}">
                <a16:creationId xmlns:a16="http://schemas.microsoft.com/office/drawing/2014/main" id="{CC455654-DBEC-4D22-8E78-F60A7E6BB8E2}"/>
              </a:ext>
            </a:extLst>
          </xdr:cNvPr>
          <xdr:cNvPicPr>
            <a:picLocks noChangeAspect="1"/>
          </xdr:cNvPicPr>
        </xdr:nvPicPr>
        <xdr:blipFill>
          <a:blip xmlns:r="http://schemas.openxmlformats.org/officeDocument/2006/relationships" r:embed="rId5"/>
          <a:stretch>
            <a:fillRect/>
          </a:stretch>
        </xdr:blipFill>
        <xdr:spPr>
          <a:xfrm>
            <a:off x="10484222" y="15133683"/>
            <a:ext cx="9938232" cy="3733437"/>
          </a:xfrm>
          <a:prstGeom prst="rect">
            <a:avLst/>
          </a:prstGeom>
          <a:ln>
            <a:solidFill>
              <a:schemeClr val="tx1"/>
            </a:solidFill>
          </a:ln>
        </xdr:spPr>
      </xdr:pic>
    </xdr:grpSp>
    <xdr:clientData/>
  </xdr:twoCellAnchor>
  <xdr:twoCellAnchor>
    <xdr:from>
      <xdr:col>10</xdr:col>
      <xdr:colOff>849086</xdr:colOff>
      <xdr:row>52</xdr:row>
      <xdr:rowOff>119743</xdr:rowOff>
    </xdr:from>
    <xdr:to>
      <xdr:col>12</xdr:col>
      <xdr:colOff>163286</xdr:colOff>
      <xdr:row>55</xdr:row>
      <xdr:rowOff>141514</xdr:rowOff>
    </xdr:to>
    <xdr:sp macro="" textlink="">
      <xdr:nvSpPr>
        <xdr:cNvPr id="2" name="TextBox 1">
          <a:extLst>
            <a:ext uri="{FF2B5EF4-FFF2-40B4-BE49-F238E27FC236}">
              <a16:creationId xmlns:a16="http://schemas.microsoft.com/office/drawing/2014/main" id="{036F2865-6089-4618-AD07-0890FF4E03FE}"/>
            </a:ext>
          </a:extLst>
        </xdr:cNvPr>
        <xdr:cNvSpPr txBox="1"/>
      </xdr:nvSpPr>
      <xdr:spPr>
        <a:xfrm>
          <a:off x="18701657" y="5453743"/>
          <a:ext cx="2188029" cy="783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rgbClr val="FF0000"/>
              </a:solidFill>
            </a:rPr>
            <a:t>feed</a:t>
          </a:r>
          <a:r>
            <a:rPr lang="en-US" sz="1400" b="1" baseline="0">
              <a:solidFill>
                <a:srgbClr val="FF0000"/>
              </a:solidFill>
            </a:rPr>
            <a:t> the same level </a:t>
          </a:r>
        </a:p>
        <a:p>
          <a:pPr algn="ctr"/>
          <a:r>
            <a:rPr lang="en-US" sz="1400" b="1" baseline="0">
              <a:solidFill>
                <a:srgbClr val="FF0000"/>
              </a:solidFill>
            </a:rPr>
            <a:t>as in gestation using lactation diet</a:t>
          </a:r>
          <a:endParaRPr lang="en-US" sz="1400" b="1">
            <a:solidFill>
              <a:srgbClr val="FF0000"/>
            </a:solidFill>
          </a:endParaRPr>
        </a:p>
      </xdr:txBody>
    </xdr:sp>
    <xdr:clientData/>
  </xdr:twoCellAnchor>
  <xdr:twoCellAnchor>
    <xdr:from>
      <xdr:col>0</xdr:col>
      <xdr:colOff>541020</xdr:colOff>
      <xdr:row>78</xdr:row>
      <xdr:rowOff>45720</xdr:rowOff>
    </xdr:from>
    <xdr:to>
      <xdr:col>3</xdr:col>
      <xdr:colOff>10344</xdr:colOff>
      <xdr:row>80</xdr:row>
      <xdr:rowOff>158932</xdr:rowOff>
    </xdr:to>
    <xdr:sp macro="" textlink="">
      <xdr:nvSpPr>
        <xdr:cNvPr id="19" name="TextBox 18">
          <a:hlinkClick xmlns:r="http://schemas.openxmlformats.org/officeDocument/2006/relationships" r:id="rId6"/>
          <a:extLst>
            <a:ext uri="{FF2B5EF4-FFF2-40B4-BE49-F238E27FC236}">
              <a16:creationId xmlns:a16="http://schemas.microsoft.com/office/drawing/2014/main" id="{D9F141AB-4F4B-4AD8-9B2B-B8C4AD3D4539}"/>
            </a:ext>
          </a:extLst>
        </xdr:cNvPr>
        <xdr:cNvSpPr txBox="1"/>
      </xdr:nvSpPr>
      <xdr:spPr>
        <a:xfrm>
          <a:off x="541020" y="11582400"/>
          <a:ext cx="5496744" cy="372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 Visit</a:t>
          </a:r>
          <a:r>
            <a:rPr lang="en-US" sz="1100" b="1" baseline="0"/>
            <a:t> </a:t>
          </a:r>
          <a:r>
            <a:rPr lang="en-US" sz="1100" b="1" u="sng">
              <a:solidFill>
                <a:srgbClr val="0000FF"/>
              </a:solidFill>
            </a:rPr>
            <a:t>http://dynamicfemalefeeding.pic.com/</a:t>
          </a:r>
          <a:r>
            <a:rPr lang="en-US" sz="1100" b="0" u="none" baseline="0">
              <a:solidFill>
                <a:srgbClr val="0000FF"/>
              </a:solidFill>
            </a:rPr>
            <a:t> </a:t>
          </a:r>
          <a:r>
            <a:rPr lang="en-US" sz="1100" b="1"/>
            <a:t>for detailed nutrient specifications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76200</xdr:rowOff>
    </xdr:from>
    <xdr:to>
      <xdr:col>5</xdr:col>
      <xdr:colOff>64340</xdr:colOff>
      <xdr:row>4</xdr:row>
      <xdr:rowOff>230982</xdr:rowOff>
    </xdr:to>
    <xdr:pic>
      <xdr:nvPicPr>
        <xdr:cNvPr id="3" name="Picture 2">
          <a:extLst>
            <a:ext uri="{FF2B5EF4-FFF2-40B4-BE49-F238E27FC236}">
              <a16:creationId xmlns:a16="http://schemas.microsoft.com/office/drawing/2014/main" id="{477DCE1D-47A8-47C7-9D31-D62F50F704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76200"/>
          <a:ext cx="9231200" cy="1526382"/>
        </a:xfrm>
        <a:prstGeom prst="rect">
          <a:avLst/>
        </a:prstGeom>
      </xdr:spPr>
    </xdr:pic>
    <xdr:clientData/>
  </xdr:twoCellAnchor>
  <xdr:twoCellAnchor>
    <xdr:from>
      <xdr:col>9</xdr:col>
      <xdr:colOff>1047750</xdr:colOff>
      <xdr:row>41</xdr:row>
      <xdr:rowOff>420750</xdr:rowOff>
    </xdr:from>
    <xdr:to>
      <xdr:col>11</xdr:col>
      <xdr:colOff>429337</xdr:colOff>
      <xdr:row>43</xdr:row>
      <xdr:rowOff>258774</xdr:rowOff>
    </xdr:to>
    <xdr:sp macro="" textlink="">
      <xdr:nvSpPr>
        <xdr:cNvPr id="5" name="TextBox 4">
          <a:extLst>
            <a:ext uri="{FF2B5EF4-FFF2-40B4-BE49-F238E27FC236}">
              <a16:creationId xmlns:a16="http://schemas.microsoft.com/office/drawing/2014/main" id="{B2B3425C-A640-4515-AC7D-1ABC3EE89CE1}"/>
            </a:ext>
          </a:extLst>
        </xdr:cNvPr>
        <xdr:cNvSpPr txBox="1"/>
      </xdr:nvSpPr>
      <xdr:spPr>
        <a:xfrm>
          <a:off x="18411825" y="5554725"/>
          <a:ext cx="2239087" cy="6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solidFill>
                <a:srgbClr val="FF0000"/>
              </a:solidFill>
            </a:rPr>
            <a:t>Feeding Lactation diet</a:t>
          </a:r>
        </a:p>
      </xdr:txBody>
    </xdr:sp>
    <xdr:clientData/>
  </xdr:twoCellAnchor>
  <xdr:twoCellAnchor>
    <xdr:from>
      <xdr:col>10</xdr:col>
      <xdr:colOff>598600</xdr:colOff>
      <xdr:row>41</xdr:row>
      <xdr:rowOff>28575</xdr:rowOff>
    </xdr:from>
    <xdr:to>
      <xdr:col>10</xdr:col>
      <xdr:colOff>836504</xdr:colOff>
      <xdr:row>41</xdr:row>
      <xdr:rowOff>407678</xdr:rowOff>
    </xdr:to>
    <xdr:sp macro="" textlink="">
      <xdr:nvSpPr>
        <xdr:cNvPr id="6" name="Arrow: Up 5">
          <a:extLst>
            <a:ext uri="{FF2B5EF4-FFF2-40B4-BE49-F238E27FC236}">
              <a16:creationId xmlns:a16="http://schemas.microsoft.com/office/drawing/2014/main" id="{87C74C8B-0091-4756-9304-A97548D87B90}"/>
            </a:ext>
          </a:extLst>
        </xdr:cNvPr>
        <xdr:cNvSpPr/>
      </xdr:nvSpPr>
      <xdr:spPr>
        <a:xfrm>
          <a:off x="19391425" y="5162550"/>
          <a:ext cx="237904" cy="37910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1012032</xdr:colOff>
      <xdr:row>0</xdr:row>
      <xdr:rowOff>0</xdr:rowOff>
    </xdr:from>
    <xdr:to>
      <xdr:col>3</xdr:col>
      <xdr:colOff>891383</xdr:colOff>
      <xdr:row>3</xdr:row>
      <xdr:rowOff>245268</xdr:rowOff>
    </xdr:to>
    <xdr:sp macro="" textlink="">
      <xdr:nvSpPr>
        <xdr:cNvPr id="7" name="TextBox 6">
          <a:extLst>
            <a:ext uri="{FF2B5EF4-FFF2-40B4-BE49-F238E27FC236}">
              <a16:creationId xmlns:a16="http://schemas.microsoft.com/office/drawing/2014/main" id="{C492629D-63B0-4C47-97D0-580DF5F12AB2}"/>
            </a:ext>
          </a:extLst>
        </xdr:cNvPr>
        <xdr:cNvSpPr txBox="1"/>
      </xdr:nvSpPr>
      <xdr:spPr>
        <a:xfrm>
          <a:off x="1607345" y="0"/>
          <a:ext cx="5141913" cy="128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2800" b="1">
              <a:solidFill>
                <a:srgbClr val="225480"/>
              </a:solidFill>
            </a:rPr>
            <a:t>PIC Feeding Levels for Terminal Females</a:t>
          </a:r>
        </a:p>
      </xdr:txBody>
    </xdr:sp>
    <xdr:clientData/>
  </xdr:twoCellAnchor>
  <xdr:twoCellAnchor>
    <xdr:from>
      <xdr:col>6</xdr:col>
      <xdr:colOff>319087</xdr:colOff>
      <xdr:row>5</xdr:row>
      <xdr:rowOff>57149</xdr:rowOff>
    </xdr:from>
    <xdr:to>
      <xdr:col>11</xdr:col>
      <xdr:colOff>402123</xdr:colOff>
      <xdr:row>59</xdr:row>
      <xdr:rowOff>103993</xdr:rowOff>
    </xdr:to>
    <xdr:grpSp>
      <xdr:nvGrpSpPr>
        <xdr:cNvPr id="2" name="Group 1">
          <a:extLst>
            <a:ext uri="{FF2B5EF4-FFF2-40B4-BE49-F238E27FC236}">
              <a16:creationId xmlns:a16="http://schemas.microsoft.com/office/drawing/2014/main" id="{B2029F92-4FCF-4BAD-9E8D-C79897F44BAE}"/>
            </a:ext>
          </a:extLst>
        </xdr:cNvPr>
        <xdr:cNvGrpSpPr/>
      </xdr:nvGrpSpPr>
      <xdr:grpSpPr>
        <a:xfrm>
          <a:off x="10170658" y="1798863"/>
          <a:ext cx="10457122" cy="5685644"/>
          <a:chOff x="9898516" y="1758042"/>
          <a:chExt cx="10152321" cy="5448880"/>
        </a:xfrm>
      </xdr:grpSpPr>
      <xdr:graphicFrame macro="">
        <xdr:nvGraphicFramePr>
          <xdr:cNvPr id="8" name="Chart 7">
            <a:extLst>
              <a:ext uri="{FF2B5EF4-FFF2-40B4-BE49-F238E27FC236}">
                <a16:creationId xmlns:a16="http://schemas.microsoft.com/office/drawing/2014/main" id="{EC83EEF9-0076-4E2A-83AF-39117B65FA33}"/>
              </a:ext>
            </a:extLst>
          </xdr:cNvPr>
          <xdr:cNvGraphicFramePr>
            <a:graphicFrameLocks/>
          </xdr:cNvGraphicFramePr>
        </xdr:nvGraphicFramePr>
        <xdr:xfrm>
          <a:off x="9898516" y="1758042"/>
          <a:ext cx="10126435" cy="4384221"/>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4" name="Group 3">
            <a:extLst>
              <a:ext uri="{FF2B5EF4-FFF2-40B4-BE49-F238E27FC236}">
                <a16:creationId xmlns:a16="http://schemas.microsoft.com/office/drawing/2014/main" id="{3B992BB8-7F57-4F6F-B9FF-9AD97C86D277}"/>
              </a:ext>
            </a:extLst>
          </xdr:cNvPr>
          <xdr:cNvGrpSpPr/>
        </xdr:nvGrpSpPr>
        <xdr:grpSpPr>
          <a:xfrm>
            <a:off x="17893393" y="6170839"/>
            <a:ext cx="2157444" cy="1036083"/>
            <a:chOff x="17891564" y="6215063"/>
            <a:chExt cx="2167650" cy="1044586"/>
          </a:xfrm>
        </xdr:grpSpPr>
        <xdr:sp macro="" textlink="">
          <xdr:nvSpPr>
            <xdr:cNvPr id="10" name="TextBox 9">
              <a:extLst>
                <a:ext uri="{FF2B5EF4-FFF2-40B4-BE49-F238E27FC236}">
                  <a16:creationId xmlns:a16="http://schemas.microsoft.com/office/drawing/2014/main" id="{44819DF5-76AB-4E54-9E04-1D2AAAF95AFB}"/>
                </a:ext>
              </a:extLst>
            </xdr:cNvPr>
            <xdr:cNvSpPr txBox="1"/>
          </xdr:nvSpPr>
          <xdr:spPr>
            <a:xfrm>
              <a:off x="17891564" y="6601946"/>
              <a:ext cx="2167650" cy="657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solidFill>
                    <a:srgbClr val="FF0000"/>
                  </a:solidFill>
                </a:rPr>
                <a:t>Feeding Lactation diet</a:t>
              </a:r>
            </a:p>
          </xdr:txBody>
        </xdr:sp>
        <xdr:sp macro="" textlink="">
          <xdr:nvSpPr>
            <xdr:cNvPr id="11" name="Arrow: Up 10">
              <a:extLst>
                <a:ext uri="{FF2B5EF4-FFF2-40B4-BE49-F238E27FC236}">
                  <a16:creationId xmlns:a16="http://schemas.microsoft.com/office/drawing/2014/main" id="{5B8838CD-3B50-432E-8268-21A095189393}"/>
                </a:ext>
              </a:extLst>
            </xdr:cNvPr>
            <xdr:cNvSpPr/>
          </xdr:nvSpPr>
          <xdr:spPr>
            <a:xfrm>
              <a:off x="18867253" y="6215063"/>
              <a:ext cx="230313" cy="373988"/>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15</xdr:row>
      <xdr:rowOff>108584</xdr:rowOff>
    </xdr:from>
    <xdr:to>
      <xdr:col>11</xdr:col>
      <xdr:colOff>123825</xdr:colOff>
      <xdr:row>34</xdr:row>
      <xdr:rowOff>133349</xdr:rowOff>
    </xdr:to>
    <xdr:graphicFrame macro="">
      <xdr:nvGraphicFramePr>
        <xdr:cNvPr id="2" name="Chart 1">
          <a:extLst>
            <a:ext uri="{FF2B5EF4-FFF2-40B4-BE49-F238E27FC236}">
              <a16:creationId xmlns:a16="http://schemas.microsoft.com/office/drawing/2014/main" id="{0157E67F-2718-46C9-B120-12F80C44B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15</xdr:row>
      <xdr:rowOff>108584</xdr:rowOff>
    </xdr:from>
    <xdr:to>
      <xdr:col>11</xdr:col>
      <xdr:colOff>123825</xdr:colOff>
      <xdr:row>34</xdr:row>
      <xdr:rowOff>133349</xdr:rowOff>
    </xdr:to>
    <xdr:graphicFrame macro="">
      <xdr:nvGraphicFramePr>
        <xdr:cNvPr id="2" name="Chart 1">
          <a:extLst>
            <a:ext uri="{FF2B5EF4-FFF2-40B4-BE49-F238E27FC236}">
              <a16:creationId xmlns:a16="http://schemas.microsoft.com/office/drawing/2014/main" id="{E0749EB1-D828-40FF-B6A6-5EB56FC5D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60A5D-4C12-4FFE-A8F1-C7E30DDF2294}">
  <sheetPr codeName="Sheet1"/>
  <dimension ref="B11:O48"/>
  <sheetViews>
    <sheetView showGridLines="0" view="pageBreakPreview" zoomScale="80" zoomScaleNormal="80" zoomScaleSheetLayoutView="80" workbookViewId="0">
      <selection activeCell="R19" sqref="R19"/>
    </sheetView>
  </sheetViews>
  <sheetFormatPr defaultRowHeight="14.4" x14ac:dyDescent="0.3"/>
  <cols>
    <col min="15" max="15" width="8.88671875" customWidth="1"/>
  </cols>
  <sheetData>
    <row r="11" spans="2:15" x14ac:dyDescent="0.3">
      <c r="K11" s="146"/>
    </row>
    <row r="12" spans="2:15" ht="14.4" customHeight="1" x14ac:dyDescent="0.3">
      <c r="B12" s="147"/>
      <c r="C12" s="147"/>
      <c r="D12" s="147"/>
      <c r="E12" s="147"/>
      <c r="F12" s="147"/>
      <c r="G12" s="147"/>
      <c r="H12" s="147"/>
      <c r="I12" s="147"/>
      <c r="J12" s="147"/>
      <c r="K12" s="147"/>
      <c r="L12" s="147"/>
      <c r="M12" s="147"/>
      <c r="N12" s="147"/>
      <c r="O12" s="147"/>
    </row>
    <row r="13" spans="2:15" ht="14.4" customHeight="1" x14ac:dyDescent="0.3">
      <c r="B13" s="147"/>
      <c r="C13" s="147"/>
      <c r="D13" s="147"/>
      <c r="E13" s="147"/>
      <c r="F13" s="147"/>
      <c r="G13" s="147"/>
      <c r="H13" s="147"/>
      <c r="I13" s="147"/>
      <c r="J13" s="147"/>
      <c r="K13" s="147"/>
      <c r="L13" s="147"/>
      <c r="M13" s="147"/>
      <c r="N13" s="147"/>
      <c r="O13" s="147"/>
    </row>
    <row r="14" spans="2:15" ht="14.4" customHeight="1" x14ac:dyDescent="0.3">
      <c r="B14" s="147"/>
      <c r="C14" s="147"/>
      <c r="D14" s="147"/>
      <c r="E14" s="147"/>
      <c r="F14" s="147"/>
      <c r="G14" s="147"/>
      <c r="H14" s="147"/>
      <c r="I14" s="147"/>
      <c r="J14" s="147"/>
      <c r="K14" s="147"/>
      <c r="L14" s="147"/>
      <c r="M14" s="147"/>
      <c r="N14" s="147"/>
      <c r="O14" s="147"/>
    </row>
    <row r="15" spans="2:15" ht="14.4" customHeight="1" x14ac:dyDescent="0.3">
      <c r="B15" s="147"/>
      <c r="C15" s="147"/>
      <c r="D15" s="147"/>
      <c r="E15" s="147"/>
      <c r="F15" s="147"/>
      <c r="G15" s="147"/>
      <c r="H15" s="147"/>
      <c r="I15" s="147"/>
      <c r="J15" s="147"/>
      <c r="K15" s="147"/>
      <c r="L15" s="147"/>
      <c r="M15" s="147"/>
      <c r="N15" s="147"/>
      <c r="O15" s="147"/>
    </row>
    <row r="16" spans="2:15" ht="14.4" customHeight="1" x14ac:dyDescent="0.3">
      <c r="B16" s="147"/>
      <c r="C16" s="147"/>
      <c r="D16" s="147"/>
      <c r="E16" s="147"/>
      <c r="F16" s="147"/>
      <c r="G16" s="147"/>
      <c r="H16" s="147"/>
      <c r="I16" s="147"/>
      <c r="J16" s="147"/>
      <c r="K16" s="147"/>
      <c r="L16" s="147"/>
      <c r="M16" s="147"/>
      <c r="N16" s="147"/>
      <c r="O16" s="147"/>
    </row>
    <row r="17" spans="2:15" ht="14.4" customHeight="1" x14ac:dyDescent="0.3">
      <c r="B17" s="147"/>
      <c r="C17" s="147"/>
      <c r="D17" s="147"/>
      <c r="E17" s="147"/>
      <c r="F17" s="147"/>
      <c r="G17" s="147"/>
      <c r="H17" s="147"/>
      <c r="I17" s="147"/>
      <c r="J17" s="147"/>
      <c r="K17" s="147"/>
      <c r="L17" s="147"/>
      <c r="M17" s="147"/>
      <c r="N17" s="147"/>
      <c r="O17" s="147"/>
    </row>
    <row r="18" spans="2:15" ht="14.4" customHeight="1" x14ac:dyDescent="0.3">
      <c r="B18" s="147"/>
      <c r="C18" s="147"/>
      <c r="D18" s="147"/>
      <c r="E18" s="147"/>
      <c r="F18" s="147"/>
      <c r="G18" s="147"/>
      <c r="H18" s="147"/>
      <c r="I18" s="147"/>
      <c r="J18" s="147"/>
      <c r="K18" s="147"/>
      <c r="L18" s="147"/>
      <c r="M18" s="147"/>
      <c r="N18" s="147"/>
      <c r="O18" s="147"/>
    </row>
    <row r="19" spans="2:15" ht="14.4" customHeight="1" x14ac:dyDescent="0.3">
      <c r="B19" s="147"/>
      <c r="C19" s="147"/>
      <c r="D19" s="147"/>
      <c r="E19" s="147"/>
      <c r="F19" s="147"/>
      <c r="G19" s="147"/>
      <c r="H19" s="147"/>
      <c r="I19" s="147"/>
      <c r="J19" s="147"/>
      <c r="K19" s="147"/>
      <c r="L19" s="147"/>
      <c r="M19" s="147"/>
      <c r="N19" s="147"/>
      <c r="O19" s="147"/>
    </row>
    <row r="20" spans="2:15" ht="14.4" customHeight="1" x14ac:dyDescent="0.3">
      <c r="B20" s="147"/>
      <c r="C20" s="147"/>
      <c r="D20" s="147"/>
      <c r="E20" s="147"/>
      <c r="F20" s="147"/>
      <c r="G20" s="147"/>
      <c r="H20" s="147"/>
      <c r="I20" s="147"/>
      <c r="J20" s="147"/>
      <c r="K20" s="147"/>
      <c r="L20" s="147"/>
      <c r="M20" s="147"/>
      <c r="N20" s="147"/>
      <c r="O20" s="147"/>
    </row>
    <row r="21" spans="2:15" ht="14.4" customHeight="1" x14ac:dyDescent="0.3">
      <c r="B21" s="147"/>
      <c r="C21" s="147"/>
      <c r="D21" s="147"/>
      <c r="E21" s="147"/>
      <c r="F21" s="147"/>
      <c r="G21" s="147"/>
      <c r="H21" s="147"/>
      <c r="I21" s="147"/>
      <c r="J21" s="147"/>
      <c r="K21" s="147"/>
      <c r="L21" s="147"/>
      <c r="M21" s="147"/>
      <c r="N21" s="147"/>
      <c r="O21" s="147"/>
    </row>
    <row r="22" spans="2:15" ht="14.4" customHeight="1" x14ac:dyDescent="0.3">
      <c r="B22" s="147"/>
      <c r="C22" s="147"/>
      <c r="D22" s="147"/>
      <c r="E22" s="147"/>
      <c r="F22" s="147"/>
      <c r="G22" s="147"/>
      <c r="H22" s="147"/>
      <c r="I22" s="147"/>
      <c r="J22" s="147"/>
      <c r="K22" s="147"/>
      <c r="L22" s="147"/>
      <c r="M22" s="147"/>
      <c r="N22" s="147"/>
      <c r="O22" s="147"/>
    </row>
    <row r="23" spans="2:15" ht="14.4" customHeight="1" x14ac:dyDescent="0.3">
      <c r="B23" s="147"/>
      <c r="C23" s="147"/>
      <c r="D23" s="147"/>
      <c r="E23" s="147"/>
      <c r="F23" s="147"/>
      <c r="G23" s="147"/>
      <c r="H23" s="147"/>
      <c r="I23" s="147"/>
      <c r="J23" s="147"/>
      <c r="K23" s="147"/>
      <c r="L23" s="147"/>
      <c r="M23" s="147"/>
      <c r="N23" s="147"/>
      <c r="O23" s="147"/>
    </row>
    <row r="24" spans="2:15" ht="14.4" customHeight="1" x14ac:dyDescent="0.3">
      <c r="B24" s="147"/>
      <c r="C24" s="147"/>
      <c r="D24" s="147"/>
      <c r="E24" s="147"/>
      <c r="F24" s="147"/>
      <c r="G24" s="147"/>
      <c r="H24" s="147"/>
      <c r="I24" s="147"/>
      <c r="J24" s="147"/>
      <c r="K24" s="147"/>
      <c r="L24" s="147"/>
      <c r="M24" s="147"/>
      <c r="N24" s="147"/>
      <c r="O24" s="147"/>
    </row>
    <row r="25" spans="2:15" ht="14.4" customHeight="1" x14ac:dyDescent="0.3">
      <c r="B25" s="147"/>
      <c r="C25" s="147"/>
      <c r="D25" s="147"/>
      <c r="E25" s="147"/>
      <c r="F25" s="147"/>
      <c r="G25" s="147"/>
      <c r="H25" s="147"/>
      <c r="I25" s="147"/>
      <c r="J25" s="147"/>
      <c r="K25" s="147"/>
      <c r="L25" s="147"/>
      <c r="M25" s="147"/>
      <c r="N25" s="147"/>
      <c r="O25" s="147"/>
    </row>
    <row r="26" spans="2:15" s="149" customFormat="1" ht="14.4" customHeight="1" x14ac:dyDescent="0.35">
      <c r="B26" s="147"/>
      <c r="C26" s="147"/>
      <c r="D26" s="147"/>
      <c r="E26" s="147"/>
      <c r="F26" s="147"/>
      <c r="G26" s="147"/>
      <c r="H26" s="147"/>
      <c r="I26" s="147"/>
      <c r="J26" s="147"/>
      <c r="K26" s="147"/>
      <c r="L26" s="147"/>
      <c r="M26" s="147"/>
      <c r="N26" s="147"/>
      <c r="O26" s="147"/>
    </row>
    <row r="27" spans="2:15" ht="14.4" customHeight="1" x14ac:dyDescent="0.3">
      <c r="B27" s="147"/>
      <c r="C27" s="147"/>
      <c r="D27" s="147"/>
      <c r="E27" s="147"/>
      <c r="F27" s="147"/>
      <c r="G27" s="147"/>
      <c r="H27" s="147"/>
      <c r="I27" s="147"/>
      <c r="J27" s="147"/>
      <c r="K27" s="147"/>
      <c r="L27" s="147"/>
      <c r="M27" s="147"/>
      <c r="N27" s="147"/>
      <c r="O27" s="147"/>
    </row>
    <row r="28" spans="2:15" ht="14.4" customHeight="1" x14ac:dyDescent="0.3">
      <c r="B28" s="147"/>
      <c r="C28" s="147"/>
      <c r="D28" s="147"/>
      <c r="E28" s="147"/>
      <c r="F28" s="147"/>
      <c r="G28" s="147"/>
      <c r="H28" s="147"/>
      <c r="I28" s="147"/>
      <c r="J28" s="147"/>
      <c r="K28" s="147"/>
      <c r="L28" s="147"/>
      <c r="M28" s="147"/>
      <c r="N28" s="147"/>
      <c r="O28" s="147"/>
    </row>
    <row r="29" spans="2:15" ht="14.4" customHeight="1" x14ac:dyDescent="0.3">
      <c r="B29" s="147"/>
      <c r="C29" s="147"/>
      <c r="D29" s="147"/>
      <c r="E29" s="147"/>
      <c r="F29" s="147"/>
      <c r="G29" s="147"/>
      <c r="H29" s="147"/>
      <c r="I29" s="147"/>
      <c r="J29" s="147"/>
      <c r="K29" s="147"/>
      <c r="L29" s="147"/>
      <c r="M29" s="147"/>
      <c r="N29" s="147"/>
      <c r="O29" s="147"/>
    </row>
    <row r="30" spans="2:15" ht="14.4" customHeight="1" x14ac:dyDescent="0.3">
      <c r="B30" s="147"/>
      <c r="C30" s="147"/>
      <c r="D30" s="147"/>
      <c r="E30" s="147"/>
      <c r="F30" s="147"/>
      <c r="G30" s="147"/>
      <c r="H30" s="147"/>
      <c r="I30" s="147"/>
      <c r="J30" s="147"/>
      <c r="K30" s="147"/>
      <c r="L30" s="147"/>
      <c r="M30" s="147"/>
      <c r="N30" s="147"/>
      <c r="O30" s="147"/>
    </row>
    <row r="31" spans="2:15" ht="14.4" customHeight="1" x14ac:dyDescent="0.3">
      <c r="B31" s="147"/>
      <c r="C31" s="147"/>
      <c r="D31" s="147"/>
      <c r="E31" s="147"/>
      <c r="F31" s="147"/>
      <c r="G31" s="147"/>
      <c r="H31" s="147"/>
      <c r="I31" s="147"/>
      <c r="J31" s="147"/>
      <c r="K31" s="147"/>
      <c r="L31" s="147"/>
      <c r="M31" s="147"/>
      <c r="N31" s="147"/>
      <c r="O31" s="147"/>
    </row>
    <row r="32" spans="2:15" ht="14.4" customHeight="1" x14ac:dyDescent="0.3">
      <c r="B32" s="147"/>
      <c r="C32" s="147"/>
      <c r="D32" s="147"/>
      <c r="E32" s="147"/>
      <c r="F32" s="147"/>
      <c r="G32" s="147"/>
      <c r="H32" s="147"/>
      <c r="I32" s="147"/>
      <c r="J32" s="147"/>
      <c r="K32" s="147"/>
      <c r="L32" s="147"/>
      <c r="M32" s="147"/>
      <c r="N32" s="147"/>
      <c r="O32" s="147"/>
    </row>
    <row r="33" spans="2:15" ht="14.4" customHeight="1" x14ac:dyDescent="0.3">
      <c r="B33" s="147"/>
      <c r="C33" s="147"/>
      <c r="D33" s="147"/>
      <c r="E33" s="147"/>
      <c r="F33" s="147"/>
      <c r="G33" s="147"/>
      <c r="H33" s="147"/>
      <c r="I33" s="147"/>
      <c r="J33" s="147"/>
      <c r="K33" s="147"/>
      <c r="L33" s="147"/>
      <c r="M33" s="147"/>
      <c r="N33" s="147"/>
      <c r="O33" s="147"/>
    </row>
    <row r="34" spans="2:15" ht="14.4" customHeight="1" x14ac:dyDescent="0.3">
      <c r="B34" s="147"/>
      <c r="C34" s="147"/>
      <c r="D34" s="147"/>
      <c r="E34" s="147"/>
      <c r="F34" s="147"/>
      <c r="G34" s="147"/>
      <c r="H34" s="147"/>
      <c r="I34" s="147"/>
      <c r="J34" s="147"/>
      <c r="K34" s="147"/>
      <c r="L34" s="147"/>
      <c r="M34" s="147"/>
      <c r="N34" s="147"/>
      <c r="O34" s="147"/>
    </row>
    <row r="35" spans="2:15" ht="14.4" customHeight="1" x14ac:dyDescent="0.3">
      <c r="B35" s="147"/>
      <c r="C35" s="147"/>
      <c r="D35" s="147"/>
      <c r="E35" s="147"/>
      <c r="F35" s="147"/>
      <c r="G35" s="147"/>
      <c r="H35" s="147"/>
      <c r="I35" s="147"/>
      <c r="J35" s="147"/>
      <c r="K35" s="147"/>
      <c r="L35" s="147"/>
      <c r="M35" s="147"/>
      <c r="N35" s="147"/>
      <c r="O35" s="147"/>
    </row>
    <row r="36" spans="2:15" ht="14.4" customHeight="1" x14ac:dyDescent="0.3">
      <c r="B36" s="147"/>
      <c r="C36" s="147"/>
      <c r="D36" s="147"/>
      <c r="E36" s="147"/>
      <c r="F36" s="147"/>
      <c r="G36" s="147"/>
      <c r="H36" s="147"/>
      <c r="I36" s="147"/>
      <c r="J36" s="147"/>
      <c r="K36" s="147"/>
      <c r="L36" s="147"/>
      <c r="M36" s="147"/>
      <c r="N36" s="147"/>
      <c r="O36" s="147"/>
    </row>
    <row r="37" spans="2:15" ht="14.4" customHeight="1" x14ac:dyDescent="0.3">
      <c r="B37" s="147"/>
      <c r="C37" s="147"/>
      <c r="D37" s="147"/>
      <c r="E37" s="147"/>
      <c r="F37" s="147"/>
      <c r="G37" s="147"/>
      <c r="H37" s="147"/>
      <c r="I37" s="147"/>
      <c r="J37" s="147"/>
      <c r="K37" s="147"/>
      <c r="L37" s="147"/>
      <c r="M37" s="147"/>
      <c r="N37" s="147"/>
      <c r="O37" s="147"/>
    </row>
    <row r="38" spans="2:15" ht="14.4" customHeight="1" x14ac:dyDescent="0.3">
      <c r="B38" s="147"/>
      <c r="C38" s="147"/>
      <c r="D38" s="147"/>
      <c r="E38" s="147"/>
      <c r="F38" s="147"/>
      <c r="G38" s="147"/>
      <c r="H38" s="147"/>
      <c r="I38" s="147"/>
      <c r="J38" s="147"/>
      <c r="K38" s="147"/>
      <c r="L38" s="147"/>
      <c r="M38" s="147"/>
      <c r="N38" s="147"/>
      <c r="O38" s="147"/>
    </row>
    <row r="39" spans="2:15" ht="14.4" customHeight="1" x14ac:dyDescent="0.3">
      <c r="B39" s="147"/>
      <c r="C39" s="147"/>
      <c r="D39" s="147"/>
      <c r="E39" s="147"/>
      <c r="F39" s="147"/>
      <c r="G39" s="147"/>
      <c r="H39" s="147"/>
      <c r="I39" s="147"/>
      <c r="J39" s="147"/>
      <c r="K39" s="147"/>
      <c r="L39" s="147"/>
      <c r="M39" s="147"/>
      <c r="N39" s="147"/>
      <c r="O39" s="147"/>
    </row>
    <row r="40" spans="2:15" ht="14.4" customHeight="1" x14ac:dyDescent="0.3">
      <c r="B40" s="147"/>
      <c r="C40" s="147"/>
      <c r="D40" s="147"/>
      <c r="E40" s="147"/>
      <c r="F40" s="147"/>
      <c r="G40" s="147"/>
      <c r="H40" s="147"/>
      <c r="I40" s="147"/>
      <c r="J40" s="147"/>
      <c r="K40" s="147"/>
      <c r="L40" s="147"/>
      <c r="M40" s="147"/>
      <c r="N40" s="147"/>
      <c r="O40" s="147"/>
    </row>
    <row r="41" spans="2:15" ht="14.4" customHeight="1" x14ac:dyDescent="0.3">
      <c r="B41" s="147"/>
      <c r="C41" s="147"/>
      <c r="D41" s="147"/>
      <c r="E41" s="147"/>
      <c r="F41" s="147"/>
      <c r="G41" s="147"/>
      <c r="H41" s="147"/>
      <c r="I41" s="147"/>
      <c r="J41" s="147"/>
      <c r="K41" s="147"/>
      <c r="L41" s="147"/>
      <c r="M41" s="147"/>
      <c r="N41" s="147"/>
      <c r="O41" s="147"/>
    </row>
    <row r="42" spans="2:15" ht="14.4" customHeight="1" x14ac:dyDescent="0.3">
      <c r="B42" s="147"/>
      <c r="C42" s="147"/>
      <c r="D42" s="147"/>
      <c r="E42" s="147"/>
      <c r="F42" s="147"/>
      <c r="G42" s="147"/>
      <c r="H42" s="147"/>
      <c r="I42" s="147"/>
      <c r="J42" s="147"/>
      <c r="K42" s="147"/>
      <c r="L42" s="147"/>
      <c r="M42" s="147"/>
      <c r="N42" s="147"/>
      <c r="O42" s="147"/>
    </row>
    <row r="43" spans="2:15" ht="14.4" customHeight="1" x14ac:dyDescent="0.3">
      <c r="B43" s="147"/>
      <c r="C43" s="147"/>
      <c r="D43" s="147"/>
      <c r="E43" s="147"/>
      <c r="F43" s="147"/>
      <c r="G43" s="147"/>
      <c r="H43" s="147"/>
      <c r="I43" s="147"/>
      <c r="J43" s="147"/>
      <c r="K43" s="147"/>
      <c r="L43" s="147"/>
      <c r="M43" s="147"/>
      <c r="N43" s="147"/>
      <c r="O43" s="147"/>
    </row>
    <row r="44" spans="2:15" ht="14.4" customHeight="1" x14ac:dyDescent="0.3">
      <c r="B44" s="147"/>
      <c r="C44" s="147"/>
      <c r="D44" s="147"/>
      <c r="E44" s="147"/>
      <c r="F44" s="147"/>
      <c r="G44" s="147"/>
      <c r="H44" s="147"/>
      <c r="I44" s="147"/>
      <c r="J44" s="147"/>
      <c r="K44" s="147"/>
      <c r="L44" s="147"/>
      <c r="M44" s="147"/>
      <c r="N44" s="147"/>
      <c r="O44" s="147"/>
    </row>
    <row r="45" spans="2:15" ht="14.4" customHeight="1" x14ac:dyDescent="0.3">
      <c r="B45" s="147"/>
      <c r="C45" s="147"/>
      <c r="D45" s="147"/>
      <c r="E45" s="147"/>
      <c r="F45" s="147"/>
      <c r="G45" s="147"/>
      <c r="H45" s="147"/>
      <c r="I45" s="147"/>
      <c r="J45" s="147"/>
      <c r="K45" s="147"/>
      <c r="L45" s="147"/>
      <c r="M45" s="147"/>
      <c r="N45" s="147"/>
      <c r="O45" s="147"/>
    </row>
    <row r="46" spans="2:15" ht="14.4" customHeight="1" x14ac:dyDescent="0.3">
      <c r="B46" s="148"/>
      <c r="C46" s="148"/>
      <c r="D46" s="148"/>
      <c r="E46" s="148"/>
      <c r="F46" s="148"/>
      <c r="G46" s="148"/>
      <c r="H46" s="148"/>
      <c r="I46" s="148"/>
      <c r="J46" s="148"/>
      <c r="K46" s="148"/>
      <c r="L46" s="148"/>
      <c r="M46" s="148"/>
      <c r="N46" s="148"/>
      <c r="O46" s="148"/>
    </row>
    <row r="47" spans="2:15" ht="14.4" customHeight="1" x14ac:dyDescent="0.3">
      <c r="B47" s="148"/>
      <c r="C47" s="148"/>
      <c r="D47" s="148"/>
      <c r="E47" s="148"/>
      <c r="F47" s="148"/>
      <c r="G47" s="148"/>
      <c r="H47" s="148"/>
      <c r="I47" s="148"/>
      <c r="J47" s="148"/>
      <c r="K47" s="148"/>
      <c r="L47" s="148"/>
      <c r="M47" s="148"/>
      <c r="N47" s="148"/>
      <c r="O47" s="148"/>
    </row>
    <row r="48" spans="2:15" ht="14.4" customHeight="1" x14ac:dyDescent="0.3">
      <c r="B48" s="148"/>
      <c r="C48" s="148"/>
      <c r="D48" s="148"/>
      <c r="E48" s="148"/>
      <c r="F48" s="148"/>
      <c r="G48" s="148"/>
      <c r="H48" s="148"/>
      <c r="I48" s="148"/>
      <c r="J48" s="148"/>
      <c r="K48" s="148"/>
      <c r="L48" s="148"/>
      <c r="M48" s="148"/>
      <c r="N48" s="148"/>
      <c r="O48" s="148"/>
    </row>
  </sheetData>
  <sheetProtection algorithmName="SHA-512" hashValue="8k5bQGsVJNhhfBPLN1NPEpitIbNJW+JDAi50kcWWk9kHaTjPzcuTVSnbIWYruy9TfcMHnICbALulTomSj99ytg==" saltValue="2oytBu2jIO0f5/nXLbbQ9g==" spinCount="100000" sheet="1" objects="1" scenarios="1" selectLockedCells="1" selectUnlockedCells="1"/>
  <pageMargins left="0.7" right="0.7" top="0.75" bottom="0.75" header="0.3" footer="0.3"/>
  <pageSetup scale="3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1CCE5-58CF-4B9B-8AE8-6A27FD241E9F}">
  <sheetPr codeName="Sheet2">
    <tabColor theme="0"/>
  </sheetPr>
  <dimension ref="A1:M97"/>
  <sheetViews>
    <sheetView showGridLines="0" tabSelected="1" topLeftCell="A62" zoomScaleNormal="100" workbookViewId="0">
      <selection activeCell="B6" sqref="B6"/>
    </sheetView>
  </sheetViews>
  <sheetFormatPr defaultColWidth="8.88671875" defaultRowHeight="14.4" x14ac:dyDescent="0.3"/>
  <cols>
    <col min="1" max="1" width="8.88671875" style="1"/>
    <col min="2" max="2" width="54.6640625" style="1" customWidth="1"/>
    <col min="3" max="5" width="24.33203125" style="1" customWidth="1"/>
    <col min="6" max="7" width="7.33203125" style="1" customWidth="1"/>
    <col min="8" max="9" width="25.6640625" style="82" customWidth="1"/>
    <col min="10" max="10" width="57.88671875" style="82" bestFit="1" customWidth="1"/>
    <col min="11" max="12" width="20.88671875" style="82" customWidth="1"/>
    <col min="13" max="13" width="6.88671875" style="82" customWidth="1"/>
    <col min="14" max="16384" width="8.88671875" style="1"/>
  </cols>
  <sheetData>
    <row r="1" spans="2:5" ht="27" customHeight="1" x14ac:dyDescent="0.3"/>
    <row r="2" spans="2:5" s="82" customFormat="1" ht="27" customHeight="1" x14ac:dyDescent="0.3">
      <c r="B2" s="139"/>
      <c r="C2" s="139"/>
      <c r="D2" s="139"/>
      <c r="E2" s="139"/>
    </row>
    <row r="3" spans="2:5" s="84" customFormat="1" ht="27" customHeight="1" x14ac:dyDescent="0.3">
      <c r="B3" s="126"/>
      <c r="C3" s="127"/>
      <c r="D3" s="85"/>
      <c r="E3" s="85"/>
    </row>
    <row r="4" spans="2:5" s="84" customFormat="1" ht="27" customHeight="1" x14ac:dyDescent="0.3">
      <c r="B4" s="128"/>
      <c r="C4" s="127"/>
      <c r="D4" s="85"/>
      <c r="E4" s="85"/>
    </row>
    <row r="5" spans="2:5" s="84" customFormat="1" ht="27" customHeight="1" thickBot="1" x14ac:dyDescent="0.35">
      <c r="B5" s="129"/>
      <c r="C5" s="86"/>
      <c r="D5" s="85"/>
      <c r="E5" s="85"/>
    </row>
    <row r="6" spans="2:5" s="82" customFormat="1" ht="21.6" customHeight="1" thickTop="1" thickBot="1" x14ac:dyDescent="0.35">
      <c r="B6" s="145" t="s">
        <v>97</v>
      </c>
      <c r="C6" s="87">
        <v>3.23</v>
      </c>
      <c r="D6" s="103"/>
      <c r="E6" s="104"/>
    </row>
    <row r="7" spans="2:5" s="82" customFormat="1" ht="21.6" hidden="1" customHeight="1" thickTop="1" thickBot="1" x14ac:dyDescent="0.35">
      <c r="B7" s="88" t="s">
        <v>112</v>
      </c>
      <c r="C7" s="137">
        <f>_xlfn.IFS(B6=B20,C6*1000,B6=B22,C6/0.76*1000,B6=B24,C6/0.745*1000,B6=B21,CONVERT(C6,"MJ","kcal"),B6=B23,CONVERT(C6,"MJ","kcal")/0.76,B6=B25,CONVERT(C6,"MJ","kcal")/0.745)</f>
        <v>3230</v>
      </c>
      <c r="E7" s="83"/>
    </row>
    <row r="8" spans="2:5" s="82" customFormat="1" ht="21.6" hidden="1" customHeight="1" thickTop="1" thickBot="1" x14ac:dyDescent="0.35">
      <c r="B8" s="130" t="s">
        <v>82</v>
      </c>
      <c r="C8" s="89">
        <v>145</v>
      </c>
      <c r="E8" s="83"/>
    </row>
    <row r="9" spans="2:5" s="82" customFormat="1" ht="16.95" customHeight="1" thickTop="1" x14ac:dyDescent="0.3">
      <c r="B9" s="140" t="s">
        <v>89</v>
      </c>
    </row>
    <row r="10" spans="2:5" s="82" customFormat="1" ht="16.95" customHeight="1" x14ac:dyDescent="0.3">
      <c r="E10" s="82" t="s">
        <v>79</v>
      </c>
    </row>
    <row r="11" spans="2:5" s="82" customFormat="1" ht="18.600000000000001" thickBot="1" x14ac:dyDescent="0.35">
      <c r="B11" s="107" t="s">
        <v>113</v>
      </c>
      <c r="C11" s="92"/>
      <c r="D11" s="92"/>
      <c r="E11" s="92"/>
    </row>
    <row r="12" spans="2:5" s="82" customFormat="1" ht="44.4" customHeight="1" thickTop="1" thickBot="1" x14ac:dyDescent="0.35">
      <c r="B12" s="91" t="s">
        <v>95</v>
      </c>
      <c r="C12" s="91" t="str">
        <f>IF(B6=B20,B27,IF(B6=B21,B28,IF(B6=B22,B29,IF(B6=B23,B30,IF(B6=B24,B29,IF(B6=B25,B30))))))</f>
        <v>ME, Mcal/day</v>
      </c>
      <c r="D12" s="108" t="s">
        <v>94</v>
      </c>
      <c r="E12" s="109" t="s">
        <v>2</v>
      </c>
    </row>
    <row r="13" spans="2:5" s="82" customFormat="1" ht="21.6" customHeight="1" thickTop="1" thickBot="1" x14ac:dyDescent="0.35">
      <c r="B13" s="110" t="s">
        <v>127</v>
      </c>
      <c r="C13" s="114">
        <f>IF(B6=B20,C20,IF(B6=B21,C21,IF(B6=B22,C22,IF(B6=B23,C23,IF(B6=B24,C24,IF(B6=B25,C25))))))</f>
        <v>8</v>
      </c>
      <c r="D13" s="110">
        <f>C20/($C$7/1000)</f>
        <v>2.4767801857585141</v>
      </c>
      <c r="E13" s="121">
        <f>D13*$C$67*1000</f>
        <v>14.915254237288137</v>
      </c>
    </row>
    <row r="14" spans="2:5" s="82" customFormat="1" ht="21.6" customHeight="1" thickTop="1" thickBot="1" x14ac:dyDescent="0.35">
      <c r="B14" s="110" t="s">
        <v>128</v>
      </c>
      <c r="C14" s="114">
        <f>IF(B6=B20,D20,IF(B6=B21,D21,IF(B6=B22,D22,IF(B6=B23,D23,IF(B6=B24,D24,IF(B6=B25,D25))))))</f>
        <v>5.9</v>
      </c>
      <c r="D14" s="110">
        <f>D20/($C$7/1000)</f>
        <v>1.8266253869969042</v>
      </c>
      <c r="E14" s="121">
        <f>D14*$C$67*1000</f>
        <v>11.000000000000002</v>
      </c>
    </row>
    <row r="15" spans="2:5" s="82" customFormat="1" ht="21.6" customHeight="1" thickTop="1" thickBot="1" x14ac:dyDescent="0.35">
      <c r="B15" s="110" t="s">
        <v>129</v>
      </c>
      <c r="C15" s="114">
        <f>IF(B6=B20,E20,IF(B6=B21,E21,IF(B6=B22,E22,IF(B6=B23,E23,IF(B6=B24,E24,IF(B6=B25,E25))))))</f>
        <v>4.9000000000000004</v>
      </c>
      <c r="D15" s="110">
        <f>E20/($C$7/1000)</f>
        <v>1.51702786377709</v>
      </c>
      <c r="E15" s="121">
        <f>D15*$C$67*1000</f>
        <v>9.1355932203389845</v>
      </c>
    </row>
    <row r="16" spans="2:5" s="82" customFormat="1" ht="16.95" customHeight="1" thickTop="1" x14ac:dyDescent="0.3">
      <c r="B16" s="165" t="str">
        <f>IF(B6=B20," ",IF(B6=B21," ",IF(B6=B22,B32,IF(B6=B23,B32,IF(B6=B24,B33,IF(B6=B25,B33))))))</f>
        <v xml:space="preserve"> </v>
      </c>
      <c r="C16" s="165"/>
      <c r="D16" s="165"/>
    </row>
    <row r="17" spans="2:5" s="82" customFormat="1" ht="16.95" hidden="1" customHeight="1" x14ac:dyDescent="0.3">
      <c r="B17" s="111"/>
      <c r="C17" s="111"/>
      <c r="D17" s="111"/>
    </row>
    <row r="18" spans="2:5" s="82" customFormat="1" ht="16.95" hidden="1" customHeight="1" x14ac:dyDescent="0.3"/>
    <row r="19" spans="2:5" s="82" customFormat="1" ht="21" hidden="1" customHeight="1" thickBot="1" x14ac:dyDescent="0.35">
      <c r="B19" s="94"/>
      <c r="C19" s="95" t="s">
        <v>87</v>
      </c>
      <c r="D19" s="95" t="s">
        <v>5</v>
      </c>
      <c r="E19" s="95" t="s">
        <v>6</v>
      </c>
    </row>
    <row r="20" spans="2:5" s="82" customFormat="1" ht="21" hidden="1" customHeight="1" thickTop="1" x14ac:dyDescent="0.3">
      <c r="B20" s="96" t="s">
        <v>97</v>
      </c>
      <c r="C20" s="97">
        <v>8</v>
      </c>
      <c r="D20" s="97">
        <v>5.9</v>
      </c>
      <c r="E20" s="97">
        <v>4.9000000000000004</v>
      </c>
    </row>
    <row r="21" spans="2:5" s="82" customFormat="1" ht="21" hidden="1" customHeight="1" x14ac:dyDescent="0.3">
      <c r="B21" s="96" t="s">
        <v>9</v>
      </c>
      <c r="C21" s="97">
        <f>(CONVERT(C20,"Mcal","MJ"))</f>
        <v>33.494399999999999</v>
      </c>
      <c r="D21" s="97">
        <f>(CONVERT(D20,"Mcal","MJ"))</f>
        <v>24.702120000000001</v>
      </c>
      <c r="E21" s="97">
        <f>(CONVERT(E20,"Mcal","MJ"))</f>
        <v>20.515319999999999</v>
      </c>
    </row>
    <row r="22" spans="2:5" s="82" customFormat="1" ht="21" hidden="1" customHeight="1" x14ac:dyDescent="0.3">
      <c r="B22" s="96" t="s">
        <v>98</v>
      </c>
      <c r="C22" s="97">
        <f>C20*0.76</f>
        <v>6.08</v>
      </c>
      <c r="D22" s="97">
        <f>D20*0.76</f>
        <v>4.484</v>
      </c>
      <c r="E22" s="97">
        <f>E20*0.76</f>
        <v>3.7240000000000002</v>
      </c>
    </row>
    <row r="23" spans="2:5" s="82" customFormat="1" ht="21" hidden="1" customHeight="1" x14ac:dyDescent="0.3">
      <c r="B23" s="96" t="s">
        <v>10</v>
      </c>
      <c r="C23" s="97">
        <f>(CONVERT(C22,"Mcal","MJ"))</f>
        <v>25.455743999999999</v>
      </c>
      <c r="D23" s="97">
        <f>(CONVERT(D22,"Mcal","MJ"))</f>
        <v>18.773611200000001</v>
      </c>
      <c r="E23" s="97">
        <f>(CONVERT(E22,"Mcal","MJ"))</f>
        <v>15.5916432</v>
      </c>
    </row>
    <row r="24" spans="2:5" s="82" customFormat="1" ht="21" hidden="1" customHeight="1" x14ac:dyDescent="0.3">
      <c r="B24" s="96" t="s">
        <v>99</v>
      </c>
      <c r="C24" s="97">
        <f>C20*0.745</f>
        <v>5.96</v>
      </c>
      <c r="D24" s="97">
        <f>D20*0.745</f>
        <v>4.3955000000000002</v>
      </c>
      <c r="E24" s="97">
        <f>E20*0.745</f>
        <v>3.6505000000000001</v>
      </c>
    </row>
    <row r="25" spans="2:5" s="82" customFormat="1" ht="21" hidden="1" customHeight="1" x14ac:dyDescent="0.3">
      <c r="B25" s="96" t="s">
        <v>11</v>
      </c>
      <c r="C25" s="97">
        <f>(CONVERT(C24,"Mcal","MJ"))</f>
        <v>24.953327999999999</v>
      </c>
      <c r="D25" s="97">
        <f>(CONVERT(D24,"Mcal","MJ"))</f>
        <v>18.403079399999999</v>
      </c>
      <c r="E25" s="97">
        <f>(CONVERT(E24,"Mcal","MJ"))</f>
        <v>15.283913399999999</v>
      </c>
    </row>
    <row r="26" spans="2:5" s="82" customFormat="1" ht="21" hidden="1" customHeight="1" x14ac:dyDescent="0.3"/>
    <row r="27" spans="2:5" s="82" customFormat="1" ht="21" hidden="1" customHeight="1" x14ac:dyDescent="0.3">
      <c r="B27" s="98" t="s">
        <v>90</v>
      </c>
    </row>
    <row r="28" spans="2:5" s="82" customFormat="1" ht="21" hidden="1" customHeight="1" x14ac:dyDescent="0.3">
      <c r="B28" s="98" t="s">
        <v>91</v>
      </c>
    </row>
    <row r="29" spans="2:5" s="82" customFormat="1" ht="21" hidden="1" customHeight="1" x14ac:dyDescent="0.3">
      <c r="B29" s="98" t="s">
        <v>92</v>
      </c>
    </row>
    <row r="30" spans="2:5" s="82" customFormat="1" ht="21" hidden="1" customHeight="1" x14ac:dyDescent="0.3">
      <c r="B30" s="98" t="s">
        <v>93</v>
      </c>
    </row>
    <row r="31" spans="2:5" s="82" customFormat="1" ht="21" hidden="1" customHeight="1" x14ac:dyDescent="0.3"/>
    <row r="32" spans="2:5" s="82" customFormat="1" ht="21" hidden="1" customHeight="1" x14ac:dyDescent="0.3">
      <c r="B32" s="166" t="s">
        <v>13</v>
      </c>
      <c r="C32" s="167"/>
    </row>
    <row r="33" spans="1:8" s="82" customFormat="1" ht="21" hidden="1" customHeight="1" x14ac:dyDescent="0.3">
      <c r="B33" s="166" t="s">
        <v>14</v>
      </c>
      <c r="C33" s="167"/>
    </row>
    <row r="34" spans="1:8" s="82" customFormat="1" ht="14.4" hidden="1" customHeight="1" x14ac:dyDescent="0.3"/>
    <row r="35" spans="1:8" s="82" customFormat="1" ht="14.4" hidden="1" customHeight="1" x14ac:dyDescent="0.3"/>
    <row r="36" spans="1:8" s="82" customFormat="1" ht="14.4" hidden="1" customHeight="1" x14ac:dyDescent="0.3"/>
    <row r="37" spans="1:8" s="82" customFormat="1" ht="14.4" hidden="1" customHeight="1" x14ac:dyDescent="0.3">
      <c r="B37" s="101" t="s">
        <v>88</v>
      </c>
      <c r="C37" s="101" t="s">
        <v>125</v>
      </c>
      <c r="D37" s="101" t="s">
        <v>124</v>
      </c>
      <c r="E37" s="101" t="s">
        <v>123</v>
      </c>
    </row>
    <row r="38" spans="1:8" s="82" customFormat="1" ht="14.4" hidden="1" customHeight="1" x14ac:dyDescent="0.3">
      <c r="B38" s="99" t="s">
        <v>3</v>
      </c>
      <c r="C38" s="100">
        <f>$D$13</f>
        <v>2.4767801857585141</v>
      </c>
      <c r="D38" s="100">
        <f>$D$14</f>
        <v>1.8266253869969042</v>
      </c>
      <c r="E38" s="100">
        <f>$D$15</f>
        <v>1.51702786377709</v>
      </c>
    </row>
    <row r="39" spans="1:8" s="82" customFormat="1" ht="14.4" hidden="1" customHeight="1" x14ac:dyDescent="0.3">
      <c r="B39" s="99" t="s">
        <v>7</v>
      </c>
      <c r="C39" s="100">
        <f>$D$13</f>
        <v>2.4767801857585141</v>
      </c>
      <c r="D39" s="100">
        <f>$D$14</f>
        <v>1.8266253869969042</v>
      </c>
      <c r="E39" s="100">
        <f>$D$15</f>
        <v>1.51702786377709</v>
      </c>
    </row>
    <row r="40" spans="1:8" s="82" customFormat="1" ht="14.4" hidden="1" customHeight="1" x14ac:dyDescent="0.3">
      <c r="B40" s="99" t="s">
        <v>8</v>
      </c>
      <c r="C40" s="100">
        <f>$D$13</f>
        <v>2.4767801857585141</v>
      </c>
      <c r="D40" s="100">
        <f>$D$14</f>
        <v>1.8266253869969042</v>
      </c>
      <c r="E40" s="100">
        <f>$D$15</f>
        <v>1.51702786377709</v>
      </c>
    </row>
    <row r="41" spans="1:8" s="82" customFormat="1" ht="14.4" hidden="1" customHeight="1" x14ac:dyDescent="0.3">
      <c r="B41" s="99" t="s">
        <v>4</v>
      </c>
      <c r="C41" s="100">
        <f>$D$13</f>
        <v>2.4767801857585141</v>
      </c>
      <c r="D41" s="100">
        <f>$D$14</f>
        <v>1.8266253869969042</v>
      </c>
      <c r="E41" s="100">
        <f>$D$15</f>
        <v>1.51702786377709</v>
      </c>
    </row>
    <row r="42" spans="1:8" s="82" customFormat="1" ht="14.4" hidden="1" customHeight="1" x14ac:dyDescent="0.3">
      <c r="B42" s="99" t="s">
        <v>131</v>
      </c>
      <c r="C42" s="100">
        <f>C41</f>
        <v>2.4767801857585141</v>
      </c>
      <c r="D42" s="100">
        <f>D41</f>
        <v>1.8266253869969042</v>
      </c>
      <c r="E42" s="100">
        <f>E41</f>
        <v>1.51702786377709</v>
      </c>
    </row>
    <row r="43" spans="1:8" s="82" customFormat="1" ht="14.4" hidden="1" customHeight="1" x14ac:dyDescent="0.3">
      <c r="B43" s="99"/>
      <c r="C43" s="100"/>
      <c r="D43" s="100"/>
    </row>
    <row r="44" spans="1:8" s="82" customFormat="1" ht="20.399999999999999" hidden="1" thickBot="1" x14ac:dyDescent="0.35">
      <c r="B44" s="107" t="str">
        <f>"Table 2. Base allocation (" &amp;ROUND(D14,2)&amp; " kg/d) as percent of daily intake to 100% maintenance"</f>
        <v>Table 2. Base allocation (1.83 kg/d) as percent of daily intake to 100% maintenance</v>
      </c>
      <c r="C44" s="86"/>
      <c r="D44" s="86"/>
      <c r="E44" s="86"/>
    </row>
    <row r="45" spans="1:8" s="82" customFormat="1" ht="43.95" hidden="1" customHeight="1" thickTop="1" thickBot="1" x14ac:dyDescent="0.35">
      <c r="B45" s="90" t="s">
        <v>84</v>
      </c>
      <c r="C45" s="90" t="s">
        <v>86</v>
      </c>
      <c r="D45" s="91" t="s">
        <v>0</v>
      </c>
      <c r="E45" s="91" t="s">
        <v>85</v>
      </c>
      <c r="H45" s="102"/>
    </row>
    <row r="46" spans="1:8" s="82" customFormat="1" ht="21.6" hidden="1" customHeight="1" thickTop="1" thickBot="1" x14ac:dyDescent="0.35">
      <c r="B46" s="92" t="s">
        <v>81</v>
      </c>
      <c r="C46" s="105">
        <f>C8</f>
        <v>145</v>
      </c>
      <c r="D46" s="106">
        <f>(100*(C46)^0.75)/$C$7</f>
        <v>1.2936699174845276</v>
      </c>
      <c r="E46" s="122">
        <f>$D$14/D46*100</f>
        <v>141.1971757485619</v>
      </c>
      <c r="F46" s="113" t="str">
        <f>IF(E46&lt;100,"!","")</f>
        <v/>
      </c>
      <c r="G46" s="113"/>
      <c r="H46" s="102"/>
    </row>
    <row r="47" spans="1:8" s="82" customFormat="1" ht="21.6" hidden="1" customHeight="1" thickTop="1" thickBot="1" x14ac:dyDescent="0.35">
      <c r="B47" s="92" t="s">
        <v>80</v>
      </c>
      <c r="C47" s="105">
        <f>SUMPRODUCT('II. Herd Maternal (metric)'!D9:D14,'II. Herd Maternal (metric)'!O9:O14)</f>
        <v>201.2557354037267</v>
      </c>
      <c r="D47" s="106">
        <f t="shared" ref="D47:D48" si="0">(100*(C47)^0.75)/$C$7</f>
        <v>1.6542786964511518</v>
      </c>
      <c r="E47" s="122">
        <f t="shared" ref="E47:E48" si="1">$D$14/D47*100</f>
        <v>110.41823792541608</v>
      </c>
      <c r="F47" s="113" t="str">
        <f t="shared" ref="F47:F48" si="2">IF(E47&lt;100,"!","")</f>
        <v/>
      </c>
      <c r="G47" s="113"/>
      <c r="H47" s="102"/>
    </row>
    <row r="48" spans="1:8" s="82" customFormat="1" ht="21.6" hidden="1" customHeight="1" thickTop="1" thickBot="1" x14ac:dyDescent="0.35">
      <c r="A48" s="82" t="s">
        <v>79</v>
      </c>
      <c r="B48" s="92" t="s">
        <v>83</v>
      </c>
      <c r="C48" s="105">
        <f>SUMPRODUCT('II. Herd Maternal (metric)'!C8:C14,'II. Herd Maternal (metric)'!D8:D14)</f>
        <v>190.28586699999997</v>
      </c>
      <c r="D48" s="106">
        <f t="shared" si="0"/>
        <v>1.5861796643361277</v>
      </c>
      <c r="E48" s="122">
        <f t="shared" si="1"/>
        <v>115.15879493773559</v>
      </c>
      <c r="F48" s="113" t="str">
        <f t="shared" si="2"/>
        <v/>
      </c>
      <c r="G48" s="113"/>
    </row>
    <row r="49" spans="2:12" s="82" customFormat="1" ht="16.95" hidden="1" customHeight="1" thickTop="1" x14ac:dyDescent="0.3">
      <c r="B49" s="112" t="s">
        <v>100</v>
      </c>
    </row>
    <row r="50" spans="2:12" s="82" customFormat="1" ht="16.95" customHeight="1" x14ac:dyDescent="0.3">
      <c r="B50" s="82" t="s">
        <v>79</v>
      </c>
    </row>
    <row r="51" spans="2:12" s="82" customFormat="1" ht="22.2" customHeight="1" thickBot="1" x14ac:dyDescent="0.35">
      <c r="B51" s="160" t="s">
        <v>118</v>
      </c>
      <c r="C51" s="131"/>
      <c r="D51" s="131"/>
    </row>
    <row r="52" spans="2:12" s="82" customFormat="1" ht="43.2" customHeight="1" thickTop="1" thickBot="1" x14ac:dyDescent="0.35">
      <c r="B52" s="132" t="s">
        <v>104</v>
      </c>
      <c r="C52" s="131" t="s">
        <v>110</v>
      </c>
      <c r="D52" s="133" t="s">
        <v>111</v>
      </c>
      <c r="E52" s="82" t="s">
        <v>79</v>
      </c>
    </row>
    <row r="53" spans="2:12" s="82" customFormat="1" ht="22.2" customHeight="1" thickTop="1" thickBot="1" x14ac:dyDescent="0.35">
      <c r="B53" s="132" t="str">
        <f>ROUND((FFM!V7),0)&amp; " to " &amp;ROUND((FFM!W7),0)</f>
        <v>89 to 98</v>
      </c>
      <c r="C53" s="132" t="str">
        <f>ROUND((FFM!X7),1)&amp; " to " &amp;ROUND((FFM!Y7),0)</f>
        <v>135 to 175</v>
      </c>
      <c r="D53" s="131">
        <f>FFM!Z7</f>
        <v>1.4883447809335437</v>
      </c>
      <c r="I53" s="134"/>
    </row>
    <row r="54" spans="2:12" s="82" customFormat="1" ht="19.2" thickTop="1" thickBot="1" x14ac:dyDescent="0.35">
      <c r="B54" s="156" t="str">
        <f>ROUND((FFM!V8),0)&amp; " to " &amp;ROUND((FFM!W8),0)</f>
        <v>99 to 103</v>
      </c>
      <c r="C54" s="156" t="str">
        <f>ROUND((FFM!X8),0)&amp; " to " &amp;ROUND((FFM!Y8),0)</f>
        <v>176 to 200</v>
      </c>
      <c r="D54" s="131">
        <f>FFM!Z8</f>
        <v>1.6434430256032861</v>
      </c>
      <c r="I54" s="134"/>
    </row>
    <row r="55" spans="2:12" s="82" customFormat="1" ht="19.2" thickTop="1" thickBot="1" x14ac:dyDescent="0.35">
      <c r="B55" s="132" t="str">
        <f>ROUND((FFM!V9),0)&amp; " to " &amp;ROUND((FFM!W9),0)</f>
        <v>104 to 109</v>
      </c>
      <c r="C55" s="132" t="str">
        <f>ROUND((FFM!X9),0)&amp; " to " &amp;ROUND((FFM!Y9),1)</f>
        <v>201 to 230</v>
      </c>
      <c r="D55" s="131">
        <f>FFM!Z9</f>
        <v>1.8284932215006504</v>
      </c>
      <c r="I55" s="134"/>
    </row>
    <row r="56" spans="2:12" s="82" customFormat="1" ht="15" thickTop="1" x14ac:dyDescent="0.3">
      <c r="B56" s="162" t="s">
        <v>132</v>
      </c>
    </row>
    <row r="57" spans="2:12" s="82" customFormat="1" ht="14.4" customHeight="1" x14ac:dyDescent="0.3">
      <c r="B57" s="162" t="s">
        <v>130</v>
      </c>
    </row>
    <row r="58" spans="2:12" s="82" customFormat="1" ht="14.4" customHeight="1" x14ac:dyDescent="0.3">
      <c r="B58" s="112"/>
    </row>
    <row r="59" spans="2:12" s="82" customFormat="1" ht="14.4" customHeight="1" x14ac:dyDescent="0.3">
      <c r="H59" s="168" t="s">
        <v>133</v>
      </c>
      <c r="I59" s="168"/>
      <c r="J59" s="168"/>
      <c r="K59" s="168"/>
      <c r="L59" s="168"/>
    </row>
    <row r="60" spans="2:12" s="82" customFormat="1" ht="18.600000000000001" thickBot="1" x14ac:dyDescent="0.35">
      <c r="B60" s="120" t="s">
        <v>114</v>
      </c>
      <c r="C60" s="110"/>
      <c r="H60" s="168"/>
      <c r="I60" s="168"/>
      <c r="J60" s="168"/>
      <c r="K60" s="168"/>
      <c r="L60" s="168"/>
    </row>
    <row r="61" spans="2:12" s="82" customFormat="1" ht="22.2" customHeight="1" thickTop="1" thickBot="1" x14ac:dyDescent="0.35">
      <c r="B61" s="132" t="s">
        <v>106</v>
      </c>
      <c r="C61" s="89">
        <v>94</v>
      </c>
      <c r="H61" s="168"/>
      <c r="I61" s="168"/>
      <c r="J61" s="168"/>
      <c r="K61" s="168"/>
      <c r="L61" s="168"/>
    </row>
    <row r="62" spans="2:12" s="82" customFormat="1" ht="22.2" customHeight="1" thickTop="1" thickBot="1" x14ac:dyDescent="0.35">
      <c r="B62" s="132" t="s">
        <v>105</v>
      </c>
      <c r="C62" s="92">
        <f>((C61*0.0507) + 0.6139)^3</f>
        <v>155.69482349257305</v>
      </c>
      <c r="E62" s="82" t="s">
        <v>79</v>
      </c>
      <c r="H62" s="168"/>
      <c r="I62" s="168"/>
      <c r="J62" s="168"/>
      <c r="K62" s="168"/>
      <c r="L62" s="168"/>
    </row>
    <row r="63" spans="2:12" s="82" customFormat="1" ht="22.2" customHeight="1" thickTop="1" thickBot="1" x14ac:dyDescent="0.35">
      <c r="B63" s="132" t="s">
        <v>117</v>
      </c>
      <c r="C63" s="131">
        <f>(100*(C62^0.75))/(FFM!$B$10*1000)</f>
        <v>1.3645929014794975</v>
      </c>
      <c r="H63" s="168"/>
      <c r="I63" s="168"/>
      <c r="J63" s="168"/>
      <c r="K63" s="168"/>
      <c r="L63" s="168"/>
    </row>
    <row r="64" spans="2:12" s="82" customFormat="1" ht="15" hidden="1" customHeight="1" thickTop="1" x14ac:dyDescent="0.3">
      <c r="C64" s="136">
        <f>((100*(C62^0.75)))/C7</f>
        <v>1.3645929014794975</v>
      </c>
      <c r="H64" s="168"/>
      <c r="I64" s="168"/>
      <c r="J64" s="168"/>
      <c r="K64" s="168"/>
      <c r="L64" s="168"/>
    </row>
    <row r="65" spans="1:13" ht="15" customHeight="1" thickTop="1" x14ac:dyDescent="0.3">
      <c r="H65" s="168"/>
      <c r="I65" s="168"/>
      <c r="J65" s="168"/>
      <c r="K65" s="168"/>
      <c r="L65" s="168"/>
    </row>
    <row r="66" spans="1:13" ht="20.399999999999999" thickBot="1" x14ac:dyDescent="0.45">
      <c r="B66" s="141" t="s">
        <v>116</v>
      </c>
      <c r="C66" s="3"/>
      <c r="H66" s="168"/>
      <c r="I66" s="168"/>
      <c r="J66" s="168"/>
      <c r="K66" s="168"/>
      <c r="L66" s="168"/>
    </row>
    <row r="67" spans="1:13" ht="21" customHeight="1" thickTop="1" thickBot="1" x14ac:dyDescent="0.45">
      <c r="B67" s="2" t="s">
        <v>1</v>
      </c>
      <c r="C67" s="3">
        <f>11/D14/1000</f>
        <v>6.0220338983050844E-3</v>
      </c>
      <c r="H67" s="168"/>
      <c r="I67" s="168"/>
      <c r="J67" s="168"/>
      <c r="K67" s="168"/>
      <c r="L67" s="168"/>
    </row>
    <row r="68" spans="1:13" ht="21" customHeight="1" thickTop="1" thickBot="1" x14ac:dyDescent="0.45">
      <c r="B68" s="2" t="s">
        <v>39</v>
      </c>
      <c r="C68" s="31">
        <v>0.7</v>
      </c>
    </row>
    <row r="69" spans="1:13" ht="21" customHeight="1" thickTop="1" thickBot="1" x14ac:dyDescent="0.45">
      <c r="B69" s="2" t="s">
        <v>40</v>
      </c>
      <c r="C69" s="31">
        <v>0.76</v>
      </c>
      <c r="M69" s="161"/>
    </row>
    <row r="70" spans="1:13" ht="21" customHeight="1" thickTop="1" thickBot="1" x14ac:dyDescent="0.45">
      <c r="B70" s="2" t="s">
        <v>41</v>
      </c>
      <c r="C70" s="31">
        <v>0.19</v>
      </c>
      <c r="M70" s="161"/>
    </row>
    <row r="71" spans="1:13" ht="21" thickTop="1" thickBot="1" x14ac:dyDescent="0.45">
      <c r="B71" s="2" t="s">
        <v>42</v>
      </c>
      <c r="C71" s="31">
        <v>0.71</v>
      </c>
      <c r="M71" s="161"/>
    </row>
    <row r="72" spans="1:13" ht="21" thickTop="1" thickBot="1" x14ac:dyDescent="0.45">
      <c r="B72" s="2" t="s">
        <v>44</v>
      </c>
      <c r="C72" s="31">
        <v>0.57999999999999996</v>
      </c>
      <c r="M72" s="161"/>
    </row>
    <row r="73" spans="1:13" ht="21" thickTop="1" thickBot="1" x14ac:dyDescent="0.45">
      <c r="B73" s="2" t="s">
        <v>43</v>
      </c>
      <c r="C73" s="31">
        <v>0.92</v>
      </c>
    </row>
    <row r="74" spans="1:13" ht="21" thickTop="1" thickBot="1" x14ac:dyDescent="0.45">
      <c r="B74" s="2" t="s">
        <v>49</v>
      </c>
      <c r="C74" s="31">
        <v>0.35</v>
      </c>
    </row>
    <row r="75" spans="1:13" ht="21" thickTop="1" thickBot="1" x14ac:dyDescent="0.45">
      <c r="B75" s="2" t="s">
        <v>45</v>
      </c>
      <c r="C75" s="3">
        <f>(((5.9/3.23)*8.5)/$D$14)/1000</f>
        <v>8.5000000000000006E-3</v>
      </c>
    </row>
    <row r="76" spans="1:13" ht="21" thickTop="1" thickBot="1" x14ac:dyDescent="0.45">
      <c r="B76" s="2" t="s">
        <v>46</v>
      </c>
      <c r="C76" s="3">
        <f>(((5.9/3.23)*4)/$D$14)/1000</f>
        <v>4.0000000000000001E-3</v>
      </c>
    </row>
    <row r="77" spans="1:13" ht="21" thickTop="1" thickBot="1" x14ac:dyDescent="0.45">
      <c r="B77" s="2" t="s">
        <v>47</v>
      </c>
      <c r="C77" s="3">
        <f>(((5.9/3.23)*4.4)/$D$14)/1000</f>
        <v>4.4000000000000003E-3</v>
      </c>
    </row>
    <row r="78" spans="1:13" ht="21" thickTop="1" thickBot="1" x14ac:dyDescent="0.45">
      <c r="B78" s="2" t="s">
        <v>48</v>
      </c>
      <c r="C78" s="3">
        <f>(((5.9/3.23)*2.4)/$D$14)/1000</f>
        <v>2.3999999999999998E-3</v>
      </c>
    </row>
    <row r="79" spans="1:13" ht="6" customHeight="1" thickTop="1" x14ac:dyDescent="0.3">
      <c r="A79" s="163"/>
    </row>
    <row r="80" spans="1:13" x14ac:dyDescent="0.3">
      <c r="B80" s="164"/>
    </row>
    <row r="93" spans="8:13" ht="14.4" customHeight="1" x14ac:dyDescent="0.3"/>
    <row r="94" spans="8:13" ht="14.4" customHeight="1" x14ac:dyDescent="0.3">
      <c r="H94" s="161"/>
      <c r="I94" s="161"/>
      <c r="J94" s="161"/>
      <c r="K94" s="161"/>
      <c r="L94" s="161"/>
      <c r="M94" s="161"/>
    </row>
    <row r="95" spans="8:13" ht="14.4" customHeight="1" x14ac:dyDescent="0.3">
      <c r="H95" s="161"/>
      <c r="I95" s="161"/>
      <c r="J95" s="161"/>
      <c r="K95" s="161"/>
      <c r="L95" s="161"/>
      <c r="M95" s="161"/>
    </row>
    <row r="96" spans="8:13" ht="14.4" customHeight="1" x14ac:dyDescent="0.3">
      <c r="H96" s="161"/>
      <c r="I96" s="161"/>
      <c r="J96" s="161"/>
      <c r="K96" s="161"/>
      <c r="L96" s="161"/>
      <c r="M96" s="161"/>
    </row>
    <row r="97" spans="8:13" ht="14.4" customHeight="1" x14ac:dyDescent="0.3">
      <c r="H97" s="161"/>
      <c r="I97" s="161"/>
      <c r="J97" s="161"/>
      <c r="K97" s="161"/>
      <c r="L97" s="161"/>
      <c r="M97" s="161"/>
    </row>
  </sheetData>
  <sheetProtection algorithmName="SHA-512" hashValue="gGHq7vjdgqIM/r9D5YyD/OzPD/ZY+lA8xqNhWhmpOPyNtkqaak6MG1II0tvFM9fqMXTgrJrGXraOErUc0w26ig==" saltValue="gzZpf9KrMRQvuNvNtdn8HA==" spinCount="100000" sheet="1" selectLockedCells="1"/>
  <mergeCells count="4">
    <mergeCell ref="B16:D16"/>
    <mergeCell ref="B32:C32"/>
    <mergeCell ref="B33:C33"/>
    <mergeCell ref="H59:L67"/>
  </mergeCells>
  <conditionalFormatting sqref="E46:E48">
    <cfRule type="cellIs" dxfId="1" priority="1" operator="lessThan">
      <formula>100</formula>
    </cfRule>
  </conditionalFormatting>
  <dataValidations count="1">
    <dataValidation type="list" allowBlank="1" showInputMessage="1" showErrorMessage="1" sqref="B6" xr:uid="{44A837DE-3AE9-4F41-9A83-D17E19AA2A01}">
      <formula1>$B$20:$B$25</formula1>
    </dataValidation>
  </dataValidations>
  <pageMargins left="0.7" right="0.7" top="0.75" bottom="0.75" header="0.3" footer="0.3"/>
  <pageSetup orientation="portrait" r:id="rId1"/>
  <ignoredErrors>
    <ignoredError sqref="B53 C64 B5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8FB1A-C83F-431E-8609-F720B420DDD0}">
  <sheetPr codeName="Sheet7">
    <tabColor theme="0"/>
  </sheetPr>
  <dimension ref="A2:AJ59"/>
  <sheetViews>
    <sheetView showGridLines="0" workbookViewId="0">
      <selection activeCell="Z7" sqref="Z7"/>
    </sheetView>
  </sheetViews>
  <sheetFormatPr defaultColWidth="9.109375" defaultRowHeight="14.4" x14ac:dyDescent="0.3"/>
  <cols>
    <col min="1" max="1" width="18.109375" style="32" bestFit="1" customWidth="1"/>
    <col min="2" max="2" width="9.109375" style="32"/>
    <col min="3" max="3" width="2.109375" style="32" customWidth="1"/>
    <col min="4" max="10" width="14" style="32" customWidth="1"/>
    <col min="11" max="11" width="2.88671875" style="32" customWidth="1"/>
    <col min="12" max="15" width="14" style="32" customWidth="1"/>
    <col min="16" max="16" width="2.88671875" style="32" customWidth="1"/>
    <col min="17" max="20" width="14" style="32" customWidth="1"/>
    <col min="21" max="21" width="2.88671875" style="32" customWidth="1"/>
    <col min="22" max="27" width="12" style="32" customWidth="1"/>
    <col min="28" max="31" width="14" style="32" customWidth="1"/>
    <col min="32" max="32" width="3.6640625" customWidth="1"/>
    <col min="33" max="33" width="11.88671875" style="32" customWidth="1"/>
    <col min="34" max="34" width="15.33203125" style="32" bestFit="1" customWidth="1"/>
    <col min="35" max="35" width="21.109375" style="32" bestFit="1" customWidth="1"/>
    <col min="36" max="36" width="6.6640625" style="32" bestFit="1" customWidth="1"/>
    <col min="37" max="16384" width="9.109375" style="32"/>
  </cols>
  <sheetData>
    <row r="2" spans="1:36" ht="15" thickBot="1" x14ac:dyDescent="0.35">
      <c r="M2" s="35"/>
    </row>
    <row r="3" spans="1:36" ht="15" thickBot="1" x14ac:dyDescent="0.35">
      <c r="AB3" s="169" t="s">
        <v>62</v>
      </c>
      <c r="AC3" s="170"/>
      <c r="AD3" s="170"/>
      <c r="AE3" s="171"/>
      <c r="AF3" s="32"/>
      <c r="AG3" s="37" t="s">
        <v>61</v>
      </c>
      <c r="AH3" s="38"/>
      <c r="AI3" s="39"/>
      <c r="AJ3" s="40"/>
    </row>
    <row r="4" spans="1:36" x14ac:dyDescent="0.3">
      <c r="A4" s="66"/>
      <c r="B4" s="67">
        <f>B8/B9</f>
        <v>1.411971757485619</v>
      </c>
      <c r="D4" s="115" t="s">
        <v>55</v>
      </c>
      <c r="E4" s="57"/>
      <c r="F4" s="57"/>
      <c r="G4" s="39"/>
      <c r="H4" s="39"/>
      <c r="I4" s="39"/>
      <c r="J4" s="40"/>
      <c r="L4" s="169" t="s">
        <v>62</v>
      </c>
      <c r="M4" s="170"/>
      <c r="N4" s="170"/>
      <c r="O4" s="171"/>
      <c r="Q4" s="172" t="s">
        <v>61</v>
      </c>
      <c r="R4" s="173"/>
      <c r="S4" s="173"/>
      <c r="T4" s="174"/>
      <c r="AB4" s="41" t="s">
        <v>68</v>
      </c>
      <c r="AC4" s="42" t="s">
        <v>71</v>
      </c>
      <c r="AD4" s="42" t="s">
        <v>69</v>
      </c>
      <c r="AE4" s="60" t="s">
        <v>70</v>
      </c>
      <c r="AF4" s="32"/>
      <c r="AG4" s="41" t="s">
        <v>77</v>
      </c>
      <c r="AH4" s="42" t="s">
        <v>76</v>
      </c>
      <c r="AI4" s="43" t="s">
        <v>38</v>
      </c>
      <c r="AJ4" s="44" t="s">
        <v>37</v>
      </c>
    </row>
    <row r="5" spans="1:36" x14ac:dyDescent="0.3">
      <c r="A5" s="159" t="str">
        <f>'Maternal lines'!B6</f>
        <v>Dietary ME, Mcal/kg</v>
      </c>
      <c r="B5" s="68">
        <f>'Maternal lines'!C6</f>
        <v>3.23</v>
      </c>
      <c r="D5" s="58"/>
      <c r="E5" s="59"/>
      <c r="F5" s="175" t="s">
        <v>103</v>
      </c>
      <c r="G5" s="175"/>
      <c r="H5" s="175" t="s">
        <v>73</v>
      </c>
      <c r="I5" s="175"/>
      <c r="J5" s="60"/>
      <c r="L5" s="61" t="s">
        <v>66</v>
      </c>
      <c r="M5" s="158" t="s">
        <v>58</v>
      </c>
      <c r="N5" s="158" t="s">
        <v>67</v>
      </c>
      <c r="O5" s="79" t="s">
        <v>58</v>
      </c>
      <c r="Q5" s="61" t="s">
        <v>64</v>
      </c>
      <c r="R5" s="123" t="s">
        <v>65</v>
      </c>
      <c r="S5" s="43" t="s">
        <v>12</v>
      </c>
      <c r="T5" s="44" t="s">
        <v>59</v>
      </c>
      <c r="V5" s="176" t="s">
        <v>104</v>
      </c>
      <c r="W5" s="176"/>
      <c r="X5" s="176" t="s">
        <v>109</v>
      </c>
      <c r="Y5" s="176"/>
      <c r="AB5" s="72">
        <f>CONVERT(L6,"kg","lbm")</f>
        <v>299.62701878628434</v>
      </c>
      <c r="AC5" s="73">
        <f>CONVERT(M6,"cm","in")</f>
        <v>35.15748031496063</v>
      </c>
      <c r="AD5" s="73">
        <f>CONVERT(N6,"kg","lbm")</f>
        <v>299.62701878628434</v>
      </c>
      <c r="AE5" s="74">
        <f>CONVERT(O6,"cm","in")</f>
        <v>35.15748031496063</v>
      </c>
      <c r="AF5" s="32"/>
      <c r="AG5" s="45" t="s">
        <v>78</v>
      </c>
      <c r="AH5" s="43" t="s">
        <v>63</v>
      </c>
      <c r="AI5" s="46" t="s">
        <v>56</v>
      </c>
      <c r="AJ5" s="47">
        <f>CONVERT(T6,"kg","lbm")</f>
        <v>4.0270196498166495</v>
      </c>
    </row>
    <row r="6" spans="1:36" x14ac:dyDescent="0.3">
      <c r="A6" s="41" t="s">
        <v>101</v>
      </c>
      <c r="B6" s="68">
        <f>'Maternal lines'!D14</f>
        <v>1.8266253869969042</v>
      </c>
      <c r="D6" s="61" t="s">
        <v>60</v>
      </c>
      <c r="E6" s="158" t="s">
        <v>72</v>
      </c>
      <c r="F6" s="158" t="s">
        <v>53</v>
      </c>
      <c r="G6" s="158" t="s">
        <v>52</v>
      </c>
      <c r="H6" s="158" t="s">
        <v>53</v>
      </c>
      <c r="I6" s="158" t="s">
        <v>52</v>
      </c>
      <c r="J6" s="79" t="s">
        <v>54</v>
      </c>
      <c r="L6" s="72">
        <f>((M6*0.0507) + 0.6139)^3</f>
        <v>135.90852956730524</v>
      </c>
      <c r="M6" s="158">
        <v>89.3</v>
      </c>
      <c r="N6" s="73">
        <f>((O6*0.0507) + 0.6139)^3</f>
        <v>135.90852956730524</v>
      </c>
      <c r="O6" s="44">
        <v>89.3</v>
      </c>
      <c r="Q6" s="45" t="s">
        <v>74</v>
      </c>
      <c r="R6" s="43" t="s">
        <v>75</v>
      </c>
      <c r="S6" s="43" t="s">
        <v>57</v>
      </c>
      <c r="T6" s="54">
        <f>VLOOKUP(FFM!B7,FFM!$F$7:$I$30,3)</f>
        <v>1.8266253869969042</v>
      </c>
      <c r="AB6" s="72">
        <f t="shared" ref="AB6:AB36" si="0">CONVERT(L7,"kg","lbm")</f>
        <v>304.08088847650538</v>
      </c>
      <c r="AC6" s="73">
        <f t="shared" ref="AC6:AC36" si="1">CONVERT(M7,"cm","in")</f>
        <v>35.354330708661422</v>
      </c>
      <c r="AD6" s="73">
        <f t="shared" ref="AD6:AD36" si="2">CONVERT(N7,"kg","lbm")</f>
        <v>304.08088847650538</v>
      </c>
      <c r="AE6" s="74">
        <f t="shared" ref="AE6:AE36" si="3">CONVERT(O7,"cm","in")</f>
        <v>35.354330708661422</v>
      </c>
      <c r="AF6" s="32"/>
      <c r="AG6" s="48">
        <f>VLOOKUP(AI6,$AB$5:AC57,2,TRUE)</f>
        <v>39.29133858267717</v>
      </c>
      <c r="AH6" s="49">
        <f>VLOOKUP(AI6,$AD$5:$AE$57,2,TRUE)</f>
        <v>39.29133858267717</v>
      </c>
      <c r="AI6" s="46">
        <f t="shared" ref="AI6:AI12" si="4">CONVERT(S7,"kg","lbm")</f>
        <v>407.85518504202349</v>
      </c>
      <c r="AJ6" s="47">
        <f t="shared" ref="AJ6:AJ12" si="5">CONVERT(T7,"kg","lbm")</f>
        <v>4.0270196498166495</v>
      </c>
    </row>
    <row r="7" spans="1:36" x14ac:dyDescent="0.3">
      <c r="A7" s="41" t="s">
        <v>102</v>
      </c>
      <c r="B7" s="69">
        <v>145</v>
      </c>
      <c r="D7" s="62">
        <f>((0.1*F7^0.75))</f>
        <v>3.9605028155702722</v>
      </c>
      <c r="E7" s="63">
        <f>D7/$B$10</f>
        <v>1.2261618624056569</v>
      </c>
      <c r="F7" s="43">
        <v>135</v>
      </c>
      <c r="G7" s="46">
        <f t="shared" ref="G7:G30" si="6">F7*2.204622</f>
        <v>297.62396999999999</v>
      </c>
      <c r="H7" s="63">
        <f>IF('Maternal lines'!$D$14&gt;E7,'Maternal lines'!$D$14,E7)</f>
        <v>1.8266253869969042</v>
      </c>
      <c r="I7" s="49">
        <f>CONVERT(H7,"kg","lbm")</f>
        <v>4.0270196498166495</v>
      </c>
      <c r="J7" s="116">
        <f>($B$10*H7)/((0.1*F7^0.75))</f>
        <v>1.4897098360351653</v>
      </c>
      <c r="L7" s="72">
        <f t="shared" ref="L7:L58" si="7">((M7*0.0507) + 0.6139)^3</f>
        <v>137.92877087576377</v>
      </c>
      <c r="M7" s="158">
        <f>M6+0.5</f>
        <v>89.8</v>
      </c>
      <c r="N7" s="73">
        <f t="shared" ref="N7:N58" si="8">((O7*0.0507) + 0.6139)^3</f>
        <v>137.92877087576377</v>
      </c>
      <c r="O7" s="79">
        <f>O6+0.5</f>
        <v>89.8</v>
      </c>
      <c r="Q7" s="48">
        <f>VLOOKUP(S7,$L$6:$M$58,2,TRUE)</f>
        <v>99.8</v>
      </c>
      <c r="R7" s="49">
        <f>VLOOKUP(S7,$N$6:$O$58,2,TRUE)</f>
        <v>99.8</v>
      </c>
      <c r="S7" s="43">
        <v>185</v>
      </c>
      <c r="T7" s="54">
        <f>VLOOKUP(S7,FFM!$F$7:$I$30,3)</f>
        <v>1.8266253869969042</v>
      </c>
      <c r="V7" s="119">
        <f t="shared" ref="V7:W9" si="9">(X7^(1/3)-0.6139)/0.0507</f>
        <v>89.073527416767078</v>
      </c>
      <c r="W7" s="119">
        <f t="shared" si="9"/>
        <v>98.173827654121524</v>
      </c>
      <c r="X7" s="36">
        <v>135</v>
      </c>
      <c r="Y7" s="36">
        <v>174.8</v>
      </c>
      <c r="Z7" s="119">
        <f>IF($B$10&gt;3.5,(100*(Y7^0.75))/($B$10*1000),(100*(Y7^0.75))/($B$10*1000))</f>
        <v>1.4883447809335437</v>
      </c>
      <c r="AB7" s="72">
        <f t="shared" si="0"/>
        <v>308.57867790322615</v>
      </c>
      <c r="AC7" s="73">
        <f t="shared" si="1"/>
        <v>35.551181102362207</v>
      </c>
      <c r="AD7" s="73">
        <f t="shared" si="2"/>
        <v>308.57867790322615</v>
      </c>
      <c r="AE7" s="74">
        <f t="shared" si="3"/>
        <v>35.551181102362207</v>
      </c>
      <c r="AF7" s="32"/>
      <c r="AG7" s="48">
        <f>VLOOKUP(AI7,$AB$5:AC58,2,TRUE)</f>
        <v>40.078740157480318</v>
      </c>
      <c r="AH7" s="49">
        <f t="shared" ref="AH7:AH12" si="10">VLOOKUP(AI7,$AD$5:$AE$57,2,TRUE)</f>
        <v>40.078740157480318</v>
      </c>
      <c r="AI7" s="46">
        <f>CONVERT(S8,"kg","lbm")</f>
        <v>429.90141126051128</v>
      </c>
      <c r="AJ7" s="47">
        <f t="shared" si="5"/>
        <v>4.0270196498166495</v>
      </c>
    </row>
    <row r="8" spans="1:36" x14ac:dyDescent="0.3">
      <c r="A8" s="41" t="s">
        <v>51</v>
      </c>
      <c r="B8" s="68">
        <f>B6*B10</f>
        <v>5.9</v>
      </c>
      <c r="D8" s="62">
        <f t="shared" ref="D8:D30" si="11">((0.1*F8^0.75))</f>
        <v>4.0700151587775339</v>
      </c>
      <c r="E8" s="63">
        <f t="shared" ref="E8:E30" si="12">D8/$B$10</f>
        <v>1.2600666126246236</v>
      </c>
      <c r="F8" s="43">
        <v>140</v>
      </c>
      <c r="G8" s="46">
        <f t="shared" si="6"/>
        <v>308.64708000000002</v>
      </c>
      <c r="H8" s="63">
        <f>IF('Maternal lines'!$D$14&gt;E8,'Maternal lines'!$D$14,E8)</f>
        <v>1.8266253869969042</v>
      </c>
      <c r="I8" s="49">
        <f t="shared" ref="I8:I30" si="13">CONVERT(H8,"kg","lbm")</f>
        <v>4.0270196498166495</v>
      </c>
      <c r="J8" s="116">
        <f t="shared" ref="J8:J30" si="14">($B$10*H8)/((0.1*F8^0.75))</f>
        <v>1.4496260504769518</v>
      </c>
      <c r="L8" s="72">
        <f t="shared" si="7"/>
        <v>139.96893384159097</v>
      </c>
      <c r="M8" s="158">
        <v>90.3</v>
      </c>
      <c r="N8" s="73">
        <f t="shared" si="8"/>
        <v>139.96893384159097</v>
      </c>
      <c r="O8" s="79">
        <f>O7+0.5</f>
        <v>90.3</v>
      </c>
      <c r="Q8" s="48">
        <f t="shared" ref="Q8:Q13" si="15">VLOOKUP(S8,$L$6:$M$58,2,TRUE)</f>
        <v>101.8</v>
      </c>
      <c r="R8" s="49">
        <f t="shared" ref="R8:R13" si="16">VLOOKUP(S8,$N$6:$O$58,2,TRUE)</f>
        <v>101.8</v>
      </c>
      <c r="S8" s="43">
        <v>195</v>
      </c>
      <c r="T8" s="54">
        <f>VLOOKUP(S8,FFM!$F$7:$I$30,3)</f>
        <v>1.8266253869969042</v>
      </c>
      <c r="V8" s="119">
        <f t="shared" si="9"/>
        <v>98.509289215076549</v>
      </c>
      <c r="W8" s="119">
        <f t="shared" si="9"/>
        <v>103.14118435390687</v>
      </c>
      <c r="X8" s="36">
        <f>Y7+1.6</f>
        <v>176.4</v>
      </c>
      <c r="Y8" s="36">
        <v>199.5</v>
      </c>
      <c r="Z8" s="119">
        <f>IF($B$10&gt;3.5,(100*(Y8^0.75))/($B$10*1000),(100*(Y8^0.75))/($B$10*1000))</f>
        <v>1.6434430256032861</v>
      </c>
      <c r="AB8" s="72">
        <f t="shared" si="0"/>
        <v>313.12060255261548</v>
      </c>
      <c r="AC8" s="73">
        <f t="shared" si="1"/>
        <v>35.748031496062993</v>
      </c>
      <c r="AD8" s="73">
        <f t="shared" si="2"/>
        <v>313.12060255261548</v>
      </c>
      <c r="AE8" s="74">
        <f t="shared" si="3"/>
        <v>35.748031496062993</v>
      </c>
      <c r="AF8" s="32"/>
      <c r="AG8" s="48">
        <f>VLOOKUP(AI8,$AB$5:AC59,2,TRUE)</f>
        <v>40.866141732283467</v>
      </c>
      <c r="AH8" s="49">
        <f t="shared" si="10"/>
        <v>40.866141732283467</v>
      </c>
      <c r="AI8" s="46">
        <f t="shared" si="4"/>
        <v>451.94763747899901</v>
      </c>
      <c r="AJ8" s="47">
        <f t="shared" si="5"/>
        <v>4.0270196498166495</v>
      </c>
    </row>
    <row r="9" spans="1:36" ht="15" thickBot="1" x14ac:dyDescent="0.35">
      <c r="A9" s="70" t="s">
        <v>50</v>
      </c>
      <c r="B9" s="71">
        <f>B7^0.75*0.1</f>
        <v>4.1785538334750241</v>
      </c>
      <c r="D9" s="62">
        <f t="shared" si="11"/>
        <v>4.1785538334750241</v>
      </c>
      <c r="E9" s="63">
        <f t="shared" si="12"/>
        <v>1.2936699174845276</v>
      </c>
      <c r="F9" s="43">
        <v>145</v>
      </c>
      <c r="G9" s="46">
        <f t="shared" si="6"/>
        <v>319.67018999999999</v>
      </c>
      <c r="H9" s="63">
        <f>IF('Maternal lines'!$D$14&gt;E9,'Maternal lines'!$D$14,E9)</f>
        <v>1.8266253869969042</v>
      </c>
      <c r="I9" s="49">
        <f t="shared" si="13"/>
        <v>4.0270196498166495</v>
      </c>
      <c r="J9" s="116">
        <f t="shared" si="14"/>
        <v>1.411971757485619</v>
      </c>
      <c r="L9" s="72">
        <f t="shared" si="7"/>
        <v>142.02911620766892</v>
      </c>
      <c r="M9" s="158">
        <f t="shared" ref="M9" si="17">M8+0.5</f>
        <v>90.8</v>
      </c>
      <c r="N9" s="73">
        <f t="shared" si="8"/>
        <v>142.02911620766892</v>
      </c>
      <c r="O9" s="79">
        <f t="shared" ref="O9:O58" si="18">O8+0.5</f>
        <v>90.8</v>
      </c>
      <c r="Q9" s="48">
        <f t="shared" si="15"/>
        <v>103.8</v>
      </c>
      <c r="R9" s="49">
        <f t="shared" si="16"/>
        <v>103.8</v>
      </c>
      <c r="S9" s="43">
        <v>205</v>
      </c>
      <c r="T9" s="54">
        <f>VLOOKUP(S9,FFM!$F$7:$I$30,3)</f>
        <v>1.8266253869969042</v>
      </c>
      <c r="V9" s="119">
        <f t="shared" si="9"/>
        <v>103.50590091672137</v>
      </c>
      <c r="W9" s="119">
        <f t="shared" si="9"/>
        <v>108.7381789985881</v>
      </c>
      <c r="X9" s="36">
        <f>Y8+1.9</f>
        <v>201.4</v>
      </c>
      <c r="Y9" s="36">
        <v>230</v>
      </c>
      <c r="Z9" s="119">
        <f>IF($B$10&gt;3.5,(100*(Y9^0.75))/($B$10*1000),(100*(Y9^0.75))/($B$10*1000))</f>
        <v>1.8284932215006504</v>
      </c>
      <c r="AB9" s="72">
        <f t="shared" si="0"/>
        <v>317.70687791084333</v>
      </c>
      <c r="AC9" s="73">
        <f t="shared" si="1"/>
        <v>35.944881889763778</v>
      </c>
      <c r="AD9" s="73">
        <f t="shared" si="2"/>
        <v>317.70687791084333</v>
      </c>
      <c r="AE9" s="74">
        <f t="shared" si="3"/>
        <v>35.944881889763778</v>
      </c>
      <c r="AF9" s="32"/>
      <c r="AG9" s="48">
        <f>VLOOKUP(AI9,$AB$5:AC60,2,TRUE)</f>
        <v>41.653543307086615</v>
      </c>
      <c r="AH9" s="49">
        <f t="shared" si="10"/>
        <v>41.653543307086615</v>
      </c>
      <c r="AI9" s="46">
        <f t="shared" si="4"/>
        <v>473.9938636974868</v>
      </c>
      <c r="AJ9" s="47">
        <f t="shared" si="5"/>
        <v>4.0270196498166495</v>
      </c>
    </row>
    <row r="10" spans="1:36" x14ac:dyDescent="0.3">
      <c r="A10" s="32" t="s">
        <v>126</v>
      </c>
      <c r="B10" s="150">
        <f>'Maternal lines'!C7/1000</f>
        <v>3.23</v>
      </c>
      <c r="D10" s="62">
        <f t="shared" si="11"/>
        <v>4.2861606445481994</v>
      </c>
      <c r="E10" s="63">
        <f t="shared" si="12"/>
        <v>1.3269847196743652</v>
      </c>
      <c r="F10" s="43">
        <v>150</v>
      </c>
      <c r="G10" s="46">
        <f t="shared" si="6"/>
        <v>330.69330000000002</v>
      </c>
      <c r="H10" s="63">
        <f>IF('Maternal lines'!$D$14&gt;E10,'Maternal lines'!$D$14,E10)</f>
        <v>1.8266253869969042</v>
      </c>
      <c r="I10" s="49">
        <f t="shared" si="13"/>
        <v>4.0270196498166495</v>
      </c>
      <c r="J10" s="116">
        <f t="shared" si="14"/>
        <v>1.3765233012216962</v>
      </c>
      <c r="L10" s="72">
        <f t="shared" si="7"/>
        <v>144.10941571688008</v>
      </c>
      <c r="M10" s="158">
        <v>91.3</v>
      </c>
      <c r="N10" s="73">
        <f t="shared" si="8"/>
        <v>144.10941571688008</v>
      </c>
      <c r="O10" s="79">
        <f t="shared" si="18"/>
        <v>91.3</v>
      </c>
      <c r="Q10" s="48">
        <f t="shared" si="15"/>
        <v>105.8</v>
      </c>
      <c r="R10" s="49">
        <f t="shared" si="16"/>
        <v>105.8</v>
      </c>
      <c r="S10" s="43">
        <v>215</v>
      </c>
      <c r="T10" s="54">
        <f>VLOOKUP(S10,FFM!$F$7:$I$30,3)</f>
        <v>1.8266253869969042</v>
      </c>
      <c r="V10" s="118"/>
      <c r="W10" s="118"/>
      <c r="X10" s="36"/>
      <c r="Y10" s="36"/>
      <c r="Z10" s="119"/>
      <c r="AB10" s="72">
        <f t="shared" si="0"/>
        <v>322.33771946407848</v>
      </c>
      <c r="AC10" s="73">
        <f t="shared" si="1"/>
        <v>36.14173228346457</v>
      </c>
      <c r="AD10" s="73">
        <f t="shared" si="2"/>
        <v>322.33771946407848</v>
      </c>
      <c r="AE10" s="74">
        <f t="shared" si="3"/>
        <v>36.14173228346457</v>
      </c>
      <c r="AF10" s="32"/>
      <c r="AG10" s="48">
        <f>VLOOKUP(AI10,$AB$5:AC61,2,TRUE)</f>
        <v>42.440944881889763</v>
      </c>
      <c r="AH10" s="49">
        <f t="shared" si="10"/>
        <v>42.440944881889763</v>
      </c>
      <c r="AI10" s="46">
        <f t="shared" si="4"/>
        <v>496.04008991597453</v>
      </c>
      <c r="AJ10" s="47">
        <f t="shared" si="5"/>
        <v>4.0270196498166495</v>
      </c>
    </row>
    <row r="11" spans="1:36" x14ac:dyDescent="0.3">
      <c r="D11" s="62">
        <f t="shared" si="11"/>
        <v>4.3928742728289576</v>
      </c>
      <c r="E11" s="63">
        <f t="shared" si="12"/>
        <v>1.3600229946838878</v>
      </c>
      <c r="F11" s="43">
        <v>155</v>
      </c>
      <c r="G11" s="46">
        <f t="shared" si="6"/>
        <v>341.71641</v>
      </c>
      <c r="H11" s="63">
        <f>IF('Maternal lines'!$D$14&gt;E11,'Maternal lines'!$D$14,E11)</f>
        <v>1.8266253869969042</v>
      </c>
      <c r="I11" s="49">
        <f t="shared" si="13"/>
        <v>4.0270196498166495</v>
      </c>
      <c r="J11" s="116">
        <f t="shared" si="14"/>
        <v>1.3430841935297346</v>
      </c>
      <c r="L11" s="72">
        <f t="shared" si="7"/>
        <v>146.20993011210649</v>
      </c>
      <c r="M11" s="158">
        <f t="shared" ref="M11" si="19">M10+0.5</f>
        <v>91.8</v>
      </c>
      <c r="N11" s="73">
        <f t="shared" si="8"/>
        <v>146.20993011210649</v>
      </c>
      <c r="O11" s="79">
        <f t="shared" si="18"/>
        <v>91.8</v>
      </c>
      <c r="Q11" s="48">
        <f t="shared" si="15"/>
        <v>107.8</v>
      </c>
      <c r="R11" s="49">
        <f t="shared" si="16"/>
        <v>107.8</v>
      </c>
      <c r="S11" s="43">
        <v>225</v>
      </c>
      <c r="T11" s="54">
        <f>VLOOKUP(S11,FFM!$F$7:$I$30,3)</f>
        <v>1.8266253869969042</v>
      </c>
      <c r="V11" s="118"/>
      <c r="W11" s="118"/>
      <c r="X11" s="36"/>
      <c r="Y11" s="36"/>
      <c r="Z11" s="119"/>
      <c r="AB11" s="72">
        <f t="shared" si="0"/>
        <v>327.01334269849065</v>
      </c>
      <c r="AC11" s="73">
        <f t="shared" si="1"/>
        <v>36.338582677165356</v>
      </c>
      <c r="AD11" s="73">
        <f t="shared" si="2"/>
        <v>327.01334269849065</v>
      </c>
      <c r="AE11" s="74">
        <f t="shared" si="3"/>
        <v>36.338582677165356</v>
      </c>
      <c r="AF11" s="32"/>
      <c r="AG11" s="48">
        <f>VLOOKUP(AI11,$AB$5:AC62,2,TRUE)</f>
        <v>43.031496062992126</v>
      </c>
      <c r="AH11" s="49">
        <f t="shared" si="10"/>
        <v>43.031496062992126</v>
      </c>
      <c r="AI11" s="46">
        <f t="shared" si="4"/>
        <v>518.08631613446232</v>
      </c>
      <c r="AJ11" s="47">
        <f t="shared" si="5"/>
        <v>4.0966855858027937</v>
      </c>
    </row>
    <row r="12" spans="1:36" ht="15" thickBot="1" x14ac:dyDescent="0.35">
      <c r="D12" s="62">
        <f t="shared" si="11"/>
        <v>4.4987306015227917</v>
      </c>
      <c r="E12" s="63">
        <f t="shared" si="12"/>
        <v>1.3927958518646415</v>
      </c>
      <c r="F12" s="43">
        <v>160</v>
      </c>
      <c r="G12" s="46">
        <f t="shared" si="6"/>
        <v>352.73952000000003</v>
      </c>
      <c r="H12" s="63">
        <f>IF('Maternal lines'!$D$14&gt;E12,'Maternal lines'!$D$14,E12)</f>
        <v>1.8266253869969042</v>
      </c>
      <c r="I12" s="49">
        <f t="shared" si="13"/>
        <v>4.0270196498166495</v>
      </c>
      <c r="J12" s="116">
        <f t="shared" si="14"/>
        <v>1.3114810649037059</v>
      </c>
      <c r="L12" s="72">
        <f t="shared" si="7"/>
        <v>148.33075713623057</v>
      </c>
      <c r="M12" s="158">
        <v>92.3</v>
      </c>
      <c r="N12" s="73">
        <f t="shared" si="8"/>
        <v>148.33075713623057</v>
      </c>
      <c r="O12" s="79">
        <f t="shared" si="18"/>
        <v>92.3</v>
      </c>
      <c r="Q12" s="48">
        <f t="shared" si="15"/>
        <v>109.3</v>
      </c>
      <c r="R12" s="49">
        <f t="shared" si="16"/>
        <v>109.3</v>
      </c>
      <c r="S12" s="43">
        <v>235</v>
      </c>
      <c r="T12" s="54">
        <f>VLOOKUP(S12,FFM!$F$7:$I$30,3)</f>
        <v>1.8582253240091275</v>
      </c>
      <c r="V12" s="118"/>
      <c r="W12" s="118"/>
      <c r="X12" s="36"/>
      <c r="Y12" s="36"/>
      <c r="Z12" s="119"/>
      <c r="AB12" s="72">
        <f t="shared" si="0"/>
        <v>331.73396310024884</v>
      </c>
      <c r="AC12" s="73">
        <f t="shared" si="1"/>
        <v>36.535433070866141</v>
      </c>
      <c r="AD12" s="73">
        <f t="shared" si="2"/>
        <v>331.73396310024884</v>
      </c>
      <c r="AE12" s="74">
        <f t="shared" si="3"/>
        <v>36.535433070866141</v>
      </c>
      <c r="AF12" s="32"/>
      <c r="AG12" s="50">
        <f>VLOOKUP(AI12,$AB$5:AC63,2,TRUE)</f>
        <v>43.818897637795274</v>
      </c>
      <c r="AH12" s="51">
        <f t="shared" si="10"/>
        <v>43.818897637795274</v>
      </c>
      <c r="AI12" s="52">
        <f t="shared" si="4"/>
        <v>540.13254235295005</v>
      </c>
      <c r="AJ12" s="53">
        <f t="shared" si="5"/>
        <v>4.2267474603272532</v>
      </c>
    </row>
    <row r="13" spans="1:36" ht="15" thickBot="1" x14ac:dyDescent="0.35">
      <c r="D13" s="62">
        <f t="shared" si="11"/>
        <v>4.6037629994166149</v>
      </c>
      <c r="E13" s="63">
        <f t="shared" si="12"/>
        <v>1.425313622110407</v>
      </c>
      <c r="F13" s="43">
        <v>165</v>
      </c>
      <c r="G13" s="46">
        <f t="shared" si="6"/>
        <v>363.76263</v>
      </c>
      <c r="H13" s="63">
        <f>IF('Maternal lines'!$D$14&gt;E13,'Maternal lines'!$D$14,E13)</f>
        <v>1.8266253869969042</v>
      </c>
      <c r="I13" s="49">
        <f t="shared" si="13"/>
        <v>4.0270196498166495</v>
      </c>
      <c r="J13" s="116">
        <f t="shared" si="14"/>
        <v>1.2815603237498636</v>
      </c>
      <c r="L13" s="72">
        <f t="shared" si="7"/>
        <v>150.47199453213443</v>
      </c>
      <c r="M13" s="158">
        <f t="shared" ref="M13" si="20">M12+0.5</f>
        <v>92.8</v>
      </c>
      <c r="N13" s="73">
        <f t="shared" si="8"/>
        <v>150.47199453213443</v>
      </c>
      <c r="O13" s="79">
        <f t="shared" si="18"/>
        <v>92.8</v>
      </c>
      <c r="Q13" s="50">
        <f t="shared" si="15"/>
        <v>111.3</v>
      </c>
      <c r="R13" s="51">
        <f t="shared" si="16"/>
        <v>111.3</v>
      </c>
      <c r="S13" s="55">
        <v>245</v>
      </c>
      <c r="T13" s="56">
        <f>VLOOKUP(S13,FFM!$F$7:$I$30,3)</f>
        <v>1.9172203979213198</v>
      </c>
      <c r="V13" s="118"/>
      <c r="W13" s="118"/>
      <c r="X13" s="36"/>
      <c r="Y13" s="36"/>
      <c r="Z13" s="119"/>
      <c r="AB13" s="72">
        <f t="shared" si="0"/>
        <v>336.4997961555228</v>
      </c>
      <c r="AC13" s="73">
        <f t="shared" si="1"/>
        <v>36.732283464566933</v>
      </c>
      <c r="AD13" s="73">
        <f t="shared" si="2"/>
        <v>336.4997961555228</v>
      </c>
      <c r="AE13" s="74">
        <f t="shared" si="3"/>
        <v>36.732283464566933</v>
      </c>
      <c r="AF13" s="32"/>
      <c r="AG13" s="34"/>
      <c r="AH13" s="34"/>
    </row>
    <row r="14" spans="1:36" x14ac:dyDescent="0.3">
      <c r="D14" s="62">
        <f t="shared" si="11"/>
        <v>4.7080025677232822</v>
      </c>
      <c r="E14" s="63">
        <f t="shared" si="12"/>
        <v>1.457585934279654</v>
      </c>
      <c r="F14" s="43">
        <v>170</v>
      </c>
      <c r="G14" s="46">
        <f t="shared" si="6"/>
        <v>374.78574000000003</v>
      </c>
      <c r="H14" s="63">
        <f>IF('Maternal lines'!$D$14&gt;E14,'Maternal lines'!$D$14,E14)</f>
        <v>1.8266253869969042</v>
      </c>
      <c r="I14" s="49">
        <f t="shared" si="13"/>
        <v>4.0270196498166495</v>
      </c>
      <c r="J14" s="116">
        <f t="shared" si="14"/>
        <v>1.2531853827881725</v>
      </c>
      <c r="L14" s="72">
        <f t="shared" si="7"/>
        <v>152.63374004270048</v>
      </c>
      <c r="M14" s="158">
        <v>93.3</v>
      </c>
      <c r="N14" s="73">
        <f t="shared" si="8"/>
        <v>152.63374004270048</v>
      </c>
      <c r="O14" s="79">
        <f t="shared" si="18"/>
        <v>93.3</v>
      </c>
      <c r="V14" s="118"/>
      <c r="W14" s="118"/>
      <c r="X14" s="36"/>
      <c r="Y14" s="36"/>
      <c r="Z14" s="119"/>
      <c r="AB14" s="72">
        <f t="shared" si="0"/>
        <v>341.31105735048146</v>
      </c>
      <c r="AC14" s="73">
        <f t="shared" si="1"/>
        <v>36.929133858267718</v>
      </c>
      <c r="AD14" s="73">
        <f t="shared" si="2"/>
        <v>341.31105735048146</v>
      </c>
      <c r="AE14" s="74">
        <f t="shared" si="3"/>
        <v>36.929133858267718</v>
      </c>
      <c r="AF14" s="32"/>
      <c r="AG14" s="34"/>
      <c r="AH14" s="34"/>
    </row>
    <row r="15" spans="1:36" x14ac:dyDescent="0.3">
      <c r="D15" s="62">
        <f t="shared" si="11"/>
        <v>4.8114783561619801</v>
      </c>
      <c r="E15" s="63">
        <f t="shared" si="12"/>
        <v>1.4896217820934923</v>
      </c>
      <c r="F15" s="43">
        <v>175</v>
      </c>
      <c r="G15" s="46">
        <f t="shared" si="6"/>
        <v>385.80885000000001</v>
      </c>
      <c r="H15" s="63">
        <f>IF('Maternal lines'!$D$14&gt;E15,'Maternal lines'!$D$14,E15)</f>
        <v>1.8266253869969042</v>
      </c>
      <c r="I15" s="49">
        <f t="shared" si="13"/>
        <v>4.0270196498166495</v>
      </c>
      <c r="J15" s="116">
        <f t="shared" si="14"/>
        <v>1.2262343428073346</v>
      </c>
      <c r="L15" s="72">
        <f t="shared" si="7"/>
        <v>154.8160914108108</v>
      </c>
      <c r="M15" s="158">
        <f t="shared" ref="M15" si="21">M14+0.5</f>
        <v>93.8</v>
      </c>
      <c r="N15" s="73">
        <f t="shared" si="8"/>
        <v>154.8160914108108</v>
      </c>
      <c r="O15" s="79">
        <f t="shared" si="18"/>
        <v>93.8</v>
      </c>
      <c r="V15" s="118"/>
      <c r="W15" s="118"/>
      <c r="X15" s="36"/>
      <c r="Y15" s="36"/>
      <c r="Z15" s="119"/>
      <c r="AB15" s="72">
        <f t="shared" si="0"/>
        <v>346.16796217129445</v>
      </c>
      <c r="AC15" s="73">
        <f t="shared" si="1"/>
        <v>37.125984251968504</v>
      </c>
      <c r="AD15" s="73">
        <f t="shared" si="2"/>
        <v>346.16796217129445</v>
      </c>
      <c r="AE15" s="74">
        <f t="shared" si="3"/>
        <v>37.125984251968504</v>
      </c>
      <c r="AF15" s="32"/>
      <c r="AG15" s="34"/>
      <c r="AH15" s="34"/>
    </row>
    <row r="16" spans="1:36" x14ac:dyDescent="0.3">
      <c r="D16" s="62">
        <f t="shared" si="11"/>
        <v>4.9142175528763206</v>
      </c>
      <c r="E16" s="63">
        <f t="shared" si="12"/>
        <v>1.5214295829338453</v>
      </c>
      <c r="F16" s="43">
        <v>180</v>
      </c>
      <c r="G16" s="46">
        <f t="shared" si="6"/>
        <v>396.83196000000004</v>
      </c>
      <c r="H16" s="63">
        <f>IF('Maternal lines'!$D$14&gt;E16,'Maternal lines'!$D$14,E16)</f>
        <v>1.8266253869969042</v>
      </c>
      <c r="I16" s="49">
        <f t="shared" si="13"/>
        <v>4.0270196498166495</v>
      </c>
      <c r="J16" s="116">
        <f t="shared" si="14"/>
        <v>1.200598047708876</v>
      </c>
      <c r="L16" s="72">
        <f t="shared" si="7"/>
        <v>157.0191463793478</v>
      </c>
      <c r="M16" s="158">
        <v>94.3</v>
      </c>
      <c r="N16" s="73">
        <f t="shared" si="8"/>
        <v>157.0191463793478</v>
      </c>
      <c r="O16" s="79">
        <f t="shared" si="18"/>
        <v>94.3</v>
      </c>
      <c r="V16" s="118"/>
      <c r="W16" s="118"/>
      <c r="X16" s="36"/>
      <c r="Y16" s="36"/>
      <c r="Z16" s="119"/>
      <c r="AB16" s="72">
        <f t="shared" si="0"/>
        <v>351.07072610413081</v>
      </c>
      <c r="AC16" s="73">
        <f t="shared" si="1"/>
        <v>37.322834645669289</v>
      </c>
      <c r="AD16" s="73">
        <f t="shared" si="2"/>
        <v>351.07072610413081</v>
      </c>
      <c r="AE16" s="74">
        <f t="shared" si="3"/>
        <v>37.322834645669289</v>
      </c>
      <c r="AF16" s="32"/>
      <c r="AG16" s="34"/>
      <c r="AH16" s="34"/>
    </row>
    <row r="17" spans="4:34" x14ac:dyDescent="0.3">
      <c r="D17" s="62">
        <f t="shared" si="11"/>
        <v>5.0162456519951801</v>
      </c>
      <c r="E17" s="63">
        <f t="shared" si="12"/>
        <v>1.5530172297198701</v>
      </c>
      <c r="F17" s="43">
        <v>185</v>
      </c>
      <c r="G17" s="46">
        <f t="shared" si="6"/>
        <v>407.85507000000001</v>
      </c>
      <c r="H17" s="63">
        <f>IF('Maternal lines'!$D$14&gt;E17,'Maternal lines'!$D$14,E17)</f>
        <v>1.8266253869969042</v>
      </c>
      <c r="I17" s="49">
        <f t="shared" si="13"/>
        <v>4.0270196498166495</v>
      </c>
      <c r="J17" s="116">
        <f t="shared" si="14"/>
        <v>1.1761784428665913</v>
      </c>
      <c r="L17" s="72">
        <f t="shared" si="7"/>
        <v>159.24300269119357</v>
      </c>
      <c r="M17" s="158">
        <f t="shared" ref="M17" si="22">M16+0.5</f>
        <v>94.8</v>
      </c>
      <c r="N17" s="73">
        <f t="shared" si="8"/>
        <v>159.24300269119357</v>
      </c>
      <c r="O17" s="79">
        <f t="shared" si="18"/>
        <v>94.8</v>
      </c>
      <c r="V17" s="118"/>
      <c r="W17" s="118"/>
      <c r="X17" s="36"/>
      <c r="Y17" s="36"/>
      <c r="Z17" s="119"/>
      <c r="AB17" s="72">
        <f t="shared" si="0"/>
        <v>356.01956463516024</v>
      </c>
      <c r="AC17" s="73">
        <f t="shared" si="1"/>
        <v>37.519685039370081</v>
      </c>
      <c r="AD17" s="73">
        <f t="shared" si="2"/>
        <v>356.01956463516024</v>
      </c>
      <c r="AE17" s="74">
        <f t="shared" si="3"/>
        <v>37.519685039370081</v>
      </c>
      <c r="AF17" s="32"/>
      <c r="AG17" s="34"/>
      <c r="AH17" s="34"/>
    </row>
    <row r="18" spans="4:34" x14ac:dyDescent="0.3">
      <c r="D18" s="62">
        <f t="shared" si="11"/>
        <v>5.1175866020001495</v>
      </c>
      <c r="E18" s="63">
        <f t="shared" si="12"/>
        <v>1.5843921368421516</v>
      </c>
      <c r="F18" s="43">
        <v>190</v>
      </c>
      <c r="G18" s="46">
        <f t="shared" si="6"/>
        <v>418.87818000000004</v>
      </c>
      <c r="H18" s="63">
        <f>IF('Maternal lines'!$D$14&gt;E18,'Maternal lines'!$D$14,E18)</f>
        <v>1.8266253869969042</v>
      </c>
      <c r="I18" s="49">
        <f t="shared" si="13"/>
        <v>4.0270196498166495</v>
      </c>
      <c r="J18" s="116">
        <f t="shared" si="14"/>
        <v>1.1528871827384521</v>
      </c>
      <c r="L18" s="72">
        <f t="shared" si="7"/>
        <v>161.48775808923051</v>
      </c>
      <c r="M18" s="158">
        <v>95.3</v>
      </c>
      <c r="N18" s="73">
        <f t="shared" si="8"/>
        <v>161.48775808923051</v>
      </c>
      <c r="O18" s="79">
        <f t="shared" si="18"/>
        <v>95.3</v>
      </c>
      <c r="X18" s="34"/>
      <c r="Y18" s="34"/>
      <c r="AB18" s="72">
        <f t="shared" si="0"/>
        <v>361.0146932505516</v>
      </c>
      <c r="AC18" s="73">
        <f t="shared" si="1"/>
        <v>37.716535433070867</v>
      </c>
      <c r="AD18" s="73">
        <f t="shared" si="2"/>
        <v>361.0146932505516</v>
      </c>
      <c r="AE18" s="74">
        <f t="shared" si="3"/>
        <v>37.716535433070867</v>
      </c>
      <c r="AF18" s="32"/>
      <c r="AG18" s="34"/>
      <c r="AH18" s="34"/>
    </row>
    <row r="19" spans="4:34" x14ac:dyDescent="0.3">
      <c r="D19" s="62">
        <f t="shared" si="11"/>
        <v>5.2182629375443934</v>
      </c>
      <c r="E19" s="63">
        <f t="shared" si="12"/>
        <v>1.6155612809734965</v>
      </c>
      <c r="F19" s="43">
        <v>195</v>
      </c>
      <c r="G19" s="46">
        <f t="shared" si="6"/>
        <v>429.90129000000002</v>
      </c>
      <c r="H19" s="63">
        <f>IF('Maternal lines'!$D$14&gt;E19,'Maternal lines'!$D$14,E19)</f>
        <v>1.8266253869969042</v>
      </c>
      <c r="I19" s="49">
        <f t="shared" si="13"/>
        <v>4.0270196498166495</v>
      </c>
      <c r="J19" s="116">
        <f t="shared" si="14"/>
        <v>1.1306444444473351</v>
      </c>
      <c r="L19" s="72">
        <f t="shared" si="7"/>
        <v>163.75351031634071</v>
      </c>
      <c r="M19" s="158">
        <f t="shared" ref="M19" si="23">M18+0.5</f>
        <v>95.8</v>
      </c>
      <c r="N19" s="73">
        <f t="shared" si="8"/>
        <v>163.75351031634071</v>
      </c>
      <c r="O19" s="79">
        <f t="shared" si="18"/>
        <v>95.8</v>
      </c>
      <c r="AB19" s="72">
        <f t="shared" si="0"/>
        <v>366.05632743647476</v>
      </c>
      <c r="AC19" s="73">
        <f t="shared" si="1"/>
        <v>37.913385826771659</v>
      </c>
      <c r="AD19" s="73">
        <f t="shared" si="2"/>
        <v>366.05632743647476</v>
      </c>
      <c r="AE19" s="74">
        <f t="shared" si="3"/>
        <v>37.913385826771659</v>
      </c>
      <c r="AF19" s="32"/>
      <c r="AG19" s="34"/>
      <c r="AH19" s="34"/>
    </row>
    <row r="20" spans="4:34" x14ac:dyDescent="0.3">
      <c r="D20" s="62">
        <f t="shared" si="11"/>
        <v>5.3182958969449858</v>
      </c>
      <c r="E20" s="63">
        <f t="shared" si="12"/>
        <v>1.646531237444268</v>
      </c>
      <c r="F20" s="43">
        <v>200</v>
      </c>
      <c r="G20" s="46">
        <f t="shared" si="6"/>
        <v>440.92439999999999</v>
      </c>
      <c r="H20" s="63">
        <f>IF('Maternal lines'!$D$14&gt;E20,'Maternal lines'!$D$14,E20)</f>
        <v>1.8266253869969042</v>
      </c>
      <c r="I20" s="49">
        <f t="shared" si="13"/>
        <v>4.0270196498166495</v>
      </c>
      <c r="J20" s="116">
        <f t="shared" si="14"/>
        <v>1.1093779124604868</v>
      </c>
      <c r="L20" s="72">
        <f t="shared" si="7"/>
        <v>166.04035711540661</v>
      </c>
      <c r="M20" s="158">
        <v>96.3</v>
      </c>
      <c r="N20" s="73">
        <f t="shared" si="8"/>
        <v>166.04035711540661</v>
      </c>
      <c r="O20" s="79">
        <f t="shared" si="18"/>
        <v>96.3</v>
      </c>
      <c r="AB20" s="72">
        <f t="shared" si="0"/>
        <v>371.14468267909854</v>
      </c>
      <c r="AC20" s="73">
        <f t="shared" si="1"/>
        <v>38.110236220472444</v>
      </c>
      <c r="AD20" s="73">
        <f t="shared" si="2"/>
        <v>371.14468267909854</v>
      </c>
      <c r="AE20" s="74">
        <f t="shared" si="3"/>
        <v>38.110236220472444</v>
      </c>
      <c r="AF20" s="32"/>
      <c r="AG20" s="34"/>
      <c r="AH20" s="34"/>
    </row>
    <row r="21" spans="4:34" x14ac:dyDescent="0.3">
      <c r="D21" s="62">
        <f t="shared" si="11"/>
        <v>5.4177055272242818</v>
      </c>
      <c r="E21" s="63">
        <f t="shared" si="12"/>
        <v>1.6773082127629355</v>
      </c>
      <c r="F21" s="43">
        <v>205</v>
      </c>
      <c r="G21" s="46">
        <f t="shared" si="6"/>
        <v>451.94751000000002</v>
      </c>
      <c r="H21" s="63">
        <f>IF('Maternal lines'!$D$14&gt;E21,'Maternal lines'!$D$14,E21)</f>
        <v>1.8266253869969042</v>
      </c>
      <c r="I21" s="49">
        <f t="shared" si="13"/>
        <v>4.0270196498166495</v>
      </c>
      <c r="J21" s="116">
        <f t="shared" si="14"/>
        <v>1.0890219061099133</v>
      </c>
      <c r="L21" s="72">
        <f t="shared" si="7"/>
        <v>168.34839622931028</v>
      </c>
      <c r="M21" s="158">
        <f t="shared" ref="M21" si="24">M20+0.5</f>
        <v>96.8</v>
      </c>
      <c r="N21" s="73">
        <f t="shared" si="8"/>
        <v>168.34839622931028</v>
      </c>
      <c r="O21" s="79">
        <f t="shared" si="18"/>
        <v>96.8</v>
      </c>
      <c r="AB21" s="72">
        <f t="shared" si="0"/>
        <v>376.27997446459278</v>
      </c>
      <c r="AC21" s="73">
        <f t="shared" si="1"/>
        <v>38.30708661417323</v>
      </c>
      <c r="AD21" s="73">
        <f t="shared" si="2"/>
        <v>376.27997446459278</v>
      </c>
      <c r="AE21" s="74">
        <f t="shared" si="3"/>
        <v>38.30708661417323</v>
      </c>
      <c r="AF21" s="32"/>
      <c r="AG21" s="34"/>
      <c r="AH21" s="34"/>
    </row>
    <row r="22" spans="4:34" x14ac:dyDescent="0.3">
      <c r="D22" s="62">
        <f t="shared" si="11"/>
        <v>5.5165107782907299</v>
      </c>
      <c r="E22" s="63">
        <f t="shared" si="12"/>
        <v>1.7078980737742198</v>
      </c>
      <c r="F22" s="43">
        <v>210</v>
      </c>
      <c r="G22" s="46">
        <f t="shared" si="6"/>
        <v>462.97062</v>
      </c>
      <c r="H22" s="63">
        <f>IF('Maternal lines'!$D$14&gt;E22,'Maternal lines'!$D$14,E22)</f>
        <v>1.8266253869969042</v>
      </c>
      <c r="I22" s="49">
        <f t="shared" si="13"/>
        <v>4.0270196498166495</v>
      </c>
      <c r="J22" s="116">
        <f t="shared" si="14"/>
        <v>1.0695166269262857</v>
      </c>
      <c r="L22" s="72">
        <f t="shared" si="7"/>
        <v>170.67772540093412</v>
      </c>
      <c r="M22" s="158">
        <v>97.3</v>
      </c>
      <c r="N22" s="73">
        <f t="shared" si="8"/>
        <v>170.67772540093412</v>
      </c>
      <c r="O22" s="79">
        <f t="shared" si="18"/>
        <v>97.3</v>
      </c>
      <c r="AB22" s="72">
        <f t="shared" si="0"/>
        <v>381.46241827912633</v>
      </c>
      <c r="AC22" s="73">
        <f t="shared" si="1"/>
        <v>38.503937007874015</v>
      </c>
      <c r="AD22" s="73">
        <f t="shared" si="2"/>
        <v>381.46241827912633</v>
      </c>
      <c r="AE22" s="74">
        <f t="shared" si="3"/>
        <v>38.503937007874015</v>
      </c>
      <c r="AF22" s="32"/>
      <c r="AG22" s="34"/>
      <c r="AH22" s="34"/>
    </row>
    <row r="23" spans="4:34" x14ac:dyDescent="0.3">
      <c r="D23" s="62">
        <f t="shared" si="11"/>
        <v>5.6147295876135157</v>
      </c>
      <c r="E23" s="63">
        <f t="shared" si="12"/>
        <v>1.7383063738741535</v>
      </c>
      <c r="F23" s="43">
        <v>215</v>
      </c>
      <c r="G23" s="46">
        <f t="shared" si="6"/>
        <v>473.99373000000003</v>
      </c>
      <c r="H23" s="63">
        <f>IF('Maternal lines'!$D$14&gt;E23,'Maternal lines'!$D$14,E23)</f>
        <v>1.8266253869969042</v>
      </c>
      <c r="I23" s="49">
        <f t="shared" si="13"/>
        <v>4.0270196498166495</v>
      </c>
      <c r="J23" s="116">
        <f t="shared" si="14"/>
        <v>1.0508075069217599</v>
      </c>
      <c r="L23" s="72">
        <f t="shared" si="7"/>
        <v>173.02844237316023</v>
      </c>
      <c r="M23" s="158">
        <f t="shared" ref="M23" si="25">M22+0.5</f>
        <v>97.8</v>
      </c>
      <c r="N23" s="73">
        <f t="shared" si="8"/>
        <v>173.02844237316023</v>
      </c>
      <c r="O23" s="79">
        <f t="shared" si="18"/>
        <v>97.8</v>
      </c>
      <c r="AB23" s="72">
        <f t="shared" si="0"/>
        <v>386.6922296088689</v>
      </c>
      <c r="AC23" s="73">
        <f t="shared" si="1"/>
        <v>38.700787401574807</v>
      </c>
      <c r="AD23" s="73">
        <f t="shared" si="2"/>
        <v>386.6922296088689</v>
      </c>
      <c r="AE23" s="74">
        <f t="shared" si="3"/>
        <v>38.700787401574807</v>
      </c>
      <c r="AF23" s="32"/>
      <c r="AG23" s="34"/>
      <c r="AH23" s="34"/>
    </row>
    <row r="24" spans="4:34" x14ac:dyDescent="0.3">
      <c r="D24" s="62">
        <f t="shared" si="11"/>
        <v>5.7123789565487444</v>
      </c>
      <c r="E24" s="63">
        <f t="shared" si="12"/>
        <v>1.7685383766404781</v>
      </c>
      <c r="F24" s="43">
        <v>220</v>
      </c>
      <c r="G24" s="46">
        <f t="shared" si="6"/>
        <v>485.01684</v>
      </c>
      <c r="H24" s="63">
        <f>IF('Maternal lines'!$D$14&gt;E24,'Maternal lines'!$D$14,E24)</f>
        <v>1.8266253869969042</v>
      </c>
      <c r="I24" s="49">
        <f t="shared" si="13"/>
        <v>4.0270196498166495</v>
      </c>
      <c r="J24" s="116">
        <f t="shared" si="14"/>
        <v>1.0328446422897355</v>
      </c>
      <c r="L24" s="72">
        <f t="shared" si="7"/>
        <v>175.40064488887103</v>
      </c>
      <c r="M24" s="158">
        <v>98.3</v>
      </c>
      <c r="N24" s="73">
        <f t="shared" si="8"/>
        <v>175.40064488887103</v>
      </c>
      <c r="O24" s="79">
        <f t="shared" si="18"/>
        <v>98.3</v>
      </c>
      <c r="AB24" s="72">
        <f t="shared" si="0"/>
        <v>391.9696239399895</v>
      </c>
      <c r="AC24" s="73">
        <f t="shared" si="1"/>
        <v>38.897637795275593</v>
      </c>
      <c r="AD24" s="73">
        <f t="shared" si="2"/>
        <v>391.9696239399895</v>
      </c>
      <c r="AE24" s="74">
        <f t="shared" si="3"/>
        <v>38.897637795275593</v>
      </c>
      <c r="AF24" s="32"/>
      <c r="AG24" s="34"/>
      <c r="AH24" s="34"/>
    </row>
    <row r="25" spans="4:34" x14ac:dyDescent="0.3">
      <c r="D25" s="62">
        <f t="shared" si="11"/>
        <v>5.8094750193111242</v>
      </c>
      <c r="E25" s="63">
        <f t="shared" si="12"/>
        <v>1.7985990771861067</v>
      </c>
      <c r="F25" s="43">
        <v>225</v>
      </c>
      <c r="G25" s="46">
        <f t="shared" si="6"/>
        <v>496.03995000000003</v>
      </c>
      <c r="H25" s="63">
        <f>IF('Maternal lines'!$D$14&gt;E25,'Maternal lines'!$D$14,E25)</f>
        <v>1.8266253869969042</v>
      </c>
      <c r="I25" s="49">
        <f t="shared" si="13"/>
        <v>4.0270196498166495</v>
      </c>
      <c r="J25" s="116">
        <f t="shared" si="14"/>
        <v>1.0155822996721673</v>
      </c>
      <c r="L25" s="72">
        <f t="shared" si="7"/>
        <v>177.79443069094859</v>
      </c>
      <c r="M25" s="158">
        <f t="shared" ref="M25" si="26">M24+0.5</f>
        <v>98.8</v>
      </c>
      <c r="N25" s="73">
        <f t="shared" si="8"/>
        <v>177.79443069094859</v>
      </c>
      <c r="O25" s="79">
        <f t="shared" si="18"/>
        <v>98.8</v>
      </c>
      <c r="AB25" s="72">
        <f t="shared" si="0"/>
        <v>397.29481675865782</v>
      </c>
      <c r="AC25" s="73">
        <f t="shared" si="1"/>
        <v>39.094488188976378</v>
      </c>
      <c r="AD25" s="73">
        <f t="shared" si="2"/>
        <v>397.29481675865782</v>
      </c>
      <c r="AE25" s="74">
        <f t="shared" si="3"/>
        <v>39.094488188976378</v>
      </c>
      <c r="AF25" s="32"/>
      <c r="AG25" s="34"/>
      <c r="AH25" s="34"/>
    </row>
    <row r="26" spans="4:34" x14ac:dyDescent="0.3">
      <c r="D26" s="62">
        <f t="shared" si="11"/>
        <v>5.9060331054471007</v>
      </c>
      <c r="E26" s="63">
        <f t="shared" si="12"/>
        <v>1.8284932215006504</v>
      </c>
      <c r="F26" s="43">
        <v>230</v>
      </c>
      <c r="G26" s="46">
        <f t="shared" si="6"/>
        <v>507.06306000000001</v>
      </c>
      <c r="H26" s="63">
        <f>IF('Maternal lines'!$D$14&gt;E26,'Maternal lines'!$D$14,E26)</f>
        <v>1.8284932215006504</v>
      </c>
      <c r="I26" s="49">
        <f t="shared" si="13"/>
        <v>4.0311375200174782</v>
      </c>
      <c r="J26" s="116">
        <f t="shared" si="14"/>
        <v>1</v>
      </c>
      <c r="L26" s="72">
        <f t="shared" si="7"/>
        <v>180.20989752227533</v>
      </c>
      <c r="M26" s="158">
        <v>99.3</v>
      </c>
      <c r="N26" s="73">
        <f t="shared" si="8"/>
        <v>180.20989752227533</v>
      </c>
      <c r="O26" s="79">
        <f t="shared" si="18"/>
        <v>99.3</v>
      </c>
      <c r="AB26" s="72">
        <f t="shared" si="0"/>
        <v>402.66802355104295</v>
      </c>
      <c r="AC26" s="73">
        <f t="shared" si="1"/>
        <v>39.29133858267717</v>
      </c>
      <c r="AD26" s="73">
        <f t="shared" si="2"/>
        <v>402.66802355104295</v>
      </c>
      <c r="AE26" s="74">
        <f t="shared" si="3"/>
        <v>39.29133858267717</v>
      </c>
      <c r="AF26" s="32"/>
      <c r="AG26" s="34"/>
      <c r="AH26" s="34"/>
    </row>
    <row r="27" spans="4:34" x14ac:dyDescent="0.3">
      <c r="D27" s="62">
        <f t="shared" si="11"/>
        <v>6.0020677965494817</v>
      </c>
      <c r="E27" s="63">
        <f t="shared" si="12"/>
        <v>1.8582253240091275</v>
      </c>
      <c r="F27" s="43">
        <v>235</v>
      </c>
      <c r="G27" s="46">
        <f t="shared" si="6"/>
        <v>518.08617000000004</v>
      </c>
      <c r="H27" s="63">
        <f>IF('Maternal lines'!$D$14&gt;E27,'Maternal lines'!$D$14,E27)</f>
        <v>1.8582253240091275</v>
      </c>
      <c r="I27" s="49">
        <f t="shared" si="13"/>
        <v>4.0966855858027937</v>
      </c>
      <c r="J27" s="116">
        <f t="shared" si="14"/>
        <v>1</v>
      </c>
      <c r="L27" s="72">
        <f t="shared" si="7"/>
        <v>182.64714312573341</v>
      </c>
      <c r="M27" s="158">
        <f t="shared" ref="M27" si="27">M26+0.5</f>
        <v>99.8</v>
      </c>
      <c r="N27" s="73">
        <f t="shared" si="8"/>
        <v>182.64714312573341</v>
      </c>
      <c r="O27" s="79">
        <f t="shared" si="18"/>
        <v>99.8</v>
      </c>
      <c r="AB27" s="72">
        <f t="shared" si="0"/>
        <v>408.08945980331418</v>
      </c>
      <c r="AC27" s="73">
        <f t="shared" si="1"/>
        <v>39.488188976377948</v>
      </c>
      <c r="AD27" s="73">
        <f t="shared" si="2"/>
        <v>408.08945980331418</v>
      </c>
      <c r="AE27" s="74">
        <f t="shared" si="3"/>
        <v>39.488188976377948</v>
      </c>
      <c r="AF27" s="32"/>
      <c r="AG27" s="34"/>
      <c r="AH27" s="34"/>
    </row>
    <row r="28" spans="4:34" x14ac:dyDescent="0.3">
      <c r="D28" s="62">
        <f t="shared" si="11"/>
        <v>6.097592977855375</v>
      </c>
      <c r="E28" s="63">
        <f t="shared" si="12"/>
        <v>1.8877996835465558</v>
      </c>
      <c r="F28" s="43">
        <v>240</v>
      </c>
      <c r="G28" s="46">
        <f t="shared" si="6"/>
        <v>529.10928000000001</v>
      </c>
      <c r="H28" s="63">
        <f>IF('Maternal lines'!$D$14&gt;E28,'Maternal lines'!$D$14,E28)</f>
        <v>1.8877996835465558</v>
      </c>
      <c r="I28" s="49">
        <f t="shared" si="13"/>
        <v>4.1618858878656972</v>
      </c>
      <c r="J28" s="116">
        <f t="shared" si="14"/>
        <v>1</v>
      </c>
      <c r="L28" s="72">
        <f t="shared" si="7"/>
        <v>185.10626524420502</v>
      </c>
      <c r="M28" s="158">
        <v>100.3</v>
      </c>
      <c r="N28" s="73">
        <f t="shared" si="8"/>
        <v>185.10626524420502</v>
      </c>
      <c r="O28" s="79">
        <f t="shared" si="18"/>
        <v>100.3</v>
      </c>
      <c r="AB28" s="72">
        <f t="shared" si="0"/>
        <v>413.5593410016412</v>
      </c>
      <c r="AC28" s="73">
        <f t="shared" si="1"/>
        <v>39.685039370078741</v>
      </c>
      <c r="AD28" s="73">
        <f t="shared" si="2"/>
        <v>413.5593410016412</v>
      </c>
      <c r="AE28" s="74">
        <f t="shared" si="3"/>
        <v>39.685039370078741</v>
      </c>
      <c r="AF28" s="32"/>
      <c r="AG28" s="34"/>
      <c r="AH28" s="34"/>
    </row>
    <row r="29" spans="4:34" x14ac:dyDescent="0.3">
      <c r="D29" s="62">
        <f t="shared" si="11"/>
        <v>6.1926218852858632</v>
      </c>
      <c r="E29" s="63">
        <f t="shared" si="12"/>
        <v>1.9172203979213198</v>
      </c>
      <c r="F29" s="43">
        <v>245</v>
      </c>
      <c r="G29" s="46">
        <f t="shared" si="6"/>
        <v>540.13238999999999</v>
      </c>
      <c r="H29" s="63">
        <f>IF('Maternal lines'!$D$14&gt;E29,'Maternal lines'!$D$14,E29)</f>
        <v>1.9172203979213198</v>
      </c>
      <c r="I29" s="49">
        <f t="shared" si="13"/>
        <v>4.2267474603272532</v>
      </c>
      <c r="J29" s="116">
        <f t="shared" si="14"/>
        <v>1</v>
      </c>
      <c r="L29" s="72">
        <f t="shared" si="7"/>
        <v>187.58736162057261</v>
      </c>
      <c r="M29" s="158">
        <f t="shared" ref="M29" si="28">M28+0.5</f>
        <v>100.8</v>
      </c>
      <c r="N29" s="73">
        <f t="shared" si="8"/>
        <v>187.58736162057261</v>
      </c>
      <c r="O29" s="79">
        <f t="shared" si="18"/>
        <v>100.8</v>
      </c>
      <c r="AB29" s="72">
        <f t="shared" si="0"/>
        <v>419.07788263219271</v>
      </c>
      <c r="AC29" s="73">
        <f t="shared" si="1"/>
        <v>39.881889763779526</v>
      </c>
      <c r="AD29" s="73">
        <f t="shared" si="2"/>
        <v>419.07788263219271</v>
      </c>
      <c r="AE29" s="74">
        <f t="shared" si="3"/>
        <v>39.881889763779526</v>
      </c>
      <c r="AF29" s="32"/>
      <c r="AG29" s="34"/>
      <c r="AH29" s="34"/>
    </row>
    <row r="30" spans="4:34" ht="15" thickBot="1" x14ac:dyDescent="0.35">
      <c r="D30" s="64">
        <f t="shared" si="11"/>
        <v>6.2871671484146754</v>
      </c>
      <c r="E30" s="65">
        <f t="shared" si="12"/>
        <v>1.9464913772181658</v>
      </c>
      <c r="F30" s="55">
        <v>250</v>
      </c>
      <c r="G30" s="52">
        <f t="shared" si="6"/>
        <v>551.15550000000007</v>
      </c>
      <c r="H30" s="65">
        <f>IF('Maternal lines'!$D$14&gt;E30,'Maternal lines'!$D$14,E30)</f>
        <v>1.9464913772181658</v>
      </c>
      <c r="I30" s="51">
        <f t="shared" si="13"/>
        <v>4.291278923448747</v>
      </c>
      <c r="J30" s="117">
        <f t="shared" si="14"/>
        <v>1</v>
      </c>
      <c r="L30" s="72">
        <f t="shared" si="7"/>
        <v>190.09052999771814</v>
      </c>
      <c r="M30" s="158">
        <v>101.3</v>
      </c>
      <c r="N30" s="73">
        <f t="shared" si="8"/>
        <v>190.09052999771814</v>
      </c>
      <c r="O30" s="79">
        <f t="shared" si="18"/>
        <v>101.3</v>
      </c>
      <c r="AB30" s="72">
        <f t="shared" si="0"/>
        <v>424.64530018113868</v>
      </c>
      <c r="AC30" s="73">
        <f t="shared" si="1"/>
        <v>40.078740157480318</v>
      </c>
      <c r="AD30" s="73">
        <f t="shared" si="2"/>
        <v>424.64530018113868</v>
      </c>
      <c r="AE30" s="74">
        <f t="shared" si="3"/>
        <v>40.078740157480318</v>
      </c>
      <c r="AF30" s="32"/>
      <c r="AG30" s="34"/>
      <c r="AH30" s="34"/>
    </row>
    <row r="31" spans="4:34" x14ac:dyDescent="0.3">
      <c r="L31" s="72">
        <f t="shared" si="7"/>
        <v>192.61586811852413</v>
      </c>
      <c r="M31" s="158">
        <f t="shared" ref="M31" si="29">M30+0.5</f>
        <v>101.8</v>
      </c>
      <c r="N31" s="73">
        <f t="shared" si="8"/>
        <v>192.61586811852413</v>
      </c>
      <c r="O31" s="79">
        <f t="shared" si="18"/>
        <v>101.8</v>
      </c>
      <c r="AB31" s="72">
        <f t="shared" si="0"/>
        <v>430.26180913464799</v>
      </c>
      <c r="AC31" s="73">
        <f t="shared" si="1"/>
        <v>40.275590551181104</v>
      </c>
      <c r="AD31" s="73">
        <f t="shared" si="2"/>
        <v>430.26180913464799</v>
      </c>
      <c r="AE31" s="74">
        <f t="shared" si="3"/>
        <v>40.275590551181104</v>
      </c>
      <c r="AF31" s="32"/>
    </row>
    <row r="32" spans="4:34" x14ac:dyDescent="0.3">
      <c r="L32" s="72">
        <f t="shared" si="7"/>
        <v>195.16347372587265</v>
      </c>
      <c r="M32" s="158">
        <v>102.3</v>
      </c>
      <c r="N32" s="73">
        <f t="shared" si="8"/>
        <v>195.16347372587265</v>
      </c>
      <c r="O32" s="79">
        <f t="shared" si="18"/>
        <v>102.3</v>
      </c>
      <c r="AB32" s="72">
        <f t="shared" si="0"/>
        <v>435.92762497889038</v>
      </c>
      <c r="AC32" s="73">
        <f t="shared" si="1"/>
        <v>40.472440944881889</v>
      </c>
      <c r="AD32" s="73">
        <f t="shared" si="2"/>
        <v>435.92762497889038</v>
      </c>
      <c r="AE32" s="74">
        <f t="shared" si="3"/>
        <v>40.472440944881889</v>
      </c>
      <c r="AF32" s="32"/>
    </row>
    <row r="33" spans="12:32" x14ac:dyDescent="0.3">
      <c r="L33" s="72">
        <f t="shared" si="7"/>
        <v>197.7334445626461</v>
      </c>
      <c r="M33" s="158">
        <f t="shared" ref="M33" si="30">M32+0.5</f>
        <v>102.8</v>
      </c>
      <c r="N33" s="73">
        <f t="shared" si="8"/>
        <v>197.7334445626461</v>
      </c>
      <c r="O33" s="79">
        <f t="shared" si="18"/>
        <v>102.8</v>
      </c>
      <c r="AB33" s="72">
        <f t="shared" si="0"/>
        <v>441.64296320003484</v>
      </c>
      <c r="AC33" s="73">
        <f t="shared" si="1"/>
        <v>40.669291338582674</v>
      </c>
      <c r="AD33" s="73">
        <f t="shared" si="2"/>
        <v>441.64296320003484</v>
      </c>
      <c r="AE33" s="74">
        <f t="shared" si="3"/>
        <v>40.669291338582674</v>
      </c>
      <c r="AF33" s="32"/>
    </row>
    <row r="34" spans="12:32" x14ac:dyDescent="0.3">
      <c r="L34" s="72">
        <f t="shared" si="7"/>
        <v>200.32587837172659</v>
      </c>
      <c r="M34" s="158">
        <v>103.3</v>
      </c>
      <c r="N34" s="73">
        <f t="shared" si="8"/>
        <v>200.32587837172659</v>
      </c>
      <c r="O34" s="79">
        <f t="shared" si="18"/>
        <v>103.3</v>
      </c>
      <c r="AB34" s="72">
        <f t="shared" si="0"/>
        <v>447.40803928425089</v>
      </c>
      <c r="AC34" s="73">
        <f t="shared" si="1"/>
        <v>40.866141732283467</v>
      </c>
      <c r="AD34" s="73">
        <f t="shared" si="2"/>
        <v>447.40803928425089</v>
      </c>
      <c r="AE34" s="74">
        <f t="shared" si="3"/>
        <v>40.866141732283467</v>
      </c>
      <c r="AF34" s="32"/>
    </row>
    <row r="35" spans="12:32" x14ac:dyDescent="0.3">
      <c r="L35" s="72">
        <f t="shared" si="7"/>
        <v>202.94087289599648</v>
      </c>
      <c r="M35" s="158">
        <f t="shared" ref="M35" si="31">M34+0.5</f>
        <v>103.8</v>
      </c>
      <c r="N35" s="73">
        <f t="shared" si="8"/>
        <v>202.94087289599648</v>
      </c>
      <c r="O35" s="79">
        <f t="shared" si="18"/>
        <v>103.8</v>
      </c>
      <c r="AB35" s="72">
        <f t="shared" si="0"/>
        <v>453.22306871770763</v>
      </c>
      <c r="AC35" s="73">
        <f t="shared" si="1"/>
        <v>41.062992125984259</v>
      </c>
      <c r="AD35" s="73">
        <f t="shared" si="2"/>
        <v>453.22306871770763</v>
      </c>
      <c r="AE35" s="74">
        <f t="shared" si="3"/>
        <v>41.062992125984259</v>
      </c>
    </row>
    <row r="36" spans="12:32" x14ac:dyDescent="0.3">
      <c r="L36" s="72">
        <f t="shared" si="7"/>
        <v>205.57852587833787</v>
      </c>
      <c r="M36" s="158">
        <v>104.3</v>
      </c>
      <c r="N36" s="73">
        <f t="shared" si="8"/>
        <v>205.57852587833787</v>
      </c>
      <c r="O36" s="79">
        <f t="shared" si="18"/>
        <v>104.3</v>
      </c>
      <c r="AB36" s="72">
        <f t="shared" si="0"/>
        <v>459.08826698657487</v>
      </c>
      <c r="AC36" s="73">
        <f t="shared" si="1"/>
        <v>41.259842519685037</v>
      </c>
      <c r="AD36" s="73">
        <f t="shared" si="2"/>
        <v>459.08826698657487</v>
      </c>
      <c r="AE36" s="74">
        <f t="shared" si="3"/>
        <v>41.259842519685037</v>
      </c>
    </row>
    <row r="37" spans="12:32" x14ac:dyDescent="0.3">
      <c r="L37" s="72">
        <f t="shared" si="7"/>
        <v>208.23893506163324</v>
      </c>
      <c r="M37" s="158">
        <f t="shared" ref="M37" si="32">M36+0.5</f>
        <v>104.8</v>
      </c>
      <c r="N37" s="73">
        <f t="shared" si="8"/>
        <v>208.23893506163324</v>
      </c>
      <c r="O37" s="79">
        <f t="shared" si="18"/>
        <v>104.8</v>
      </c>
      <c r="AB37" s="72">
        <f t="shared" ref="AB37:AB57" si="33">CONVERT(L38,"kg","lbm")</f>
        <v>465.0038495770213</v>
      </c>
      <c r="AC37" s="73">
        <f t="shared" ref="AC37:AC57" si="34">CONVERT(M38,"cm","in")</f>
        <v>41.456692913385822</v>
      </c>
      <c r="AD37" s="73">
        <f t="shared" ref="AD37:AD57" si="35">CONVERT(N38,"kg","lbm")</f>
        <v>465.0038495770213</v>
      </c>
      <c r="AE37" s="74">
        <f t="shared" ref="AE37:AE57" si="36">CONVERT(O38,"cm","in")</f>
        <v>41.456692913385822</v>
      </c>
    </row>
    <row r="38" spans="12:32" x14ac:dyDescent="0.3">
      <c r="L38" s="72">
        <f t="shared" si="7"/>
        <v>210.92219818876458</v>
      </c>
      <c r="M38" s="158">
        <v>105.3</v>
      </c>
      <c r="N38" s="73">
        <f t="shared" si="8"/>
        <v>210.92219818876458</v>
      </c>
      <c r="O38" s="79">
        <f t="shared" si="18"/>
        <v>105.3</v>
      </c>
      <c r="AB38" s="72">
        <f t="shared" si="33"/>
        <v>470.97003197521673</v>
      </c>
      <c r="AC38" s="73">
        <f t="shared" si="34"/>
        <v>41.653543307086615</v>
      </c>
      <c r="AD38" s="73">
        <f t="shared" si="35"/>
        <v>470.97003197521673</v>
      </c>
      <c r="AE38" s="74">
        <f t="shared" si="36"/>
        <v>41.653543307086615</v>
      </c>
    </row>
    <row r="39" spans="12:32" x14ac:dyDescent="0.3">
      <c r="L39" s="72">
        <f t="shared" si="7"/>
        <v>213.62841300261437</v>
      </c>
      <c r="M39" s="158">
        <f t="shared" ref="M39" si="37">M38+0.5</f>
        <v>105.8</v>
      </c>
      <c r="N39" s="73">
        <f t="shared" si="8"/>
        <v>213.62841300261437</v>
      </c>
      <c r="O39" s="79">
        <f t="shared" si="18"/>
        <v>105.8</v>
      </c>
      <c r="AB39" s="72">
        <f t="shared" si="33"/>
        <v>476.98702966733038</v>
      </c>
      <c r="AC39" s="73">
        <f t="shared" si="34"/>
        <v>41.8503937007874</v>
      </c>
      <c r="AD39" s="73">
        <f t="shared" si="35"/>
        <v>476.98702966733038</v>
      </c>
      <c r="AE39" s="74">
        <f t="shared" si="36"/>
        <v>41.8503937007874</v>
      </c>
    </row>
    <row r="40" spans="12:32" x14ac:dyDescent="0.3">
      <c r="L40" s="72">
        <f t="shared" si="7"/>
        <v>216.3576772460647</v>
      </c>
      <c r="M40" s="158">
        <v>106.3</v>
      </c>
      <c r="N40" s="73">
        <f t="shared" si="8"/>
        <v>216.3576772460647</v>
      </c>
      <c r="O40" s="79">
        <f t="shared" si="18"/>
        <v>106.3</v>
      </c>
      <c r="AB40" s="72">
        <f t="shared" si="33"/>
        <v>483.05505813953158</v>
      </c>
      <c r="AC40" s="73">
        <f t="shared" si="34"/>
        <v>42.047244094488185</v>
      </c>
      <c r="AD40" s="73">
        <f t="shared" si="35"/>
        <v>483.05505813953158</v>
      </c>
      <c r="AE40" s="74">
        <f t="shared" si="36"/>
        <v>42.047244094488185</v>
      </c>
    </row>
    <row r="41" spans="12:32" x14ac:dyDescent="0.3">
      <c r="L41" s="72">
        <f t="shared" si="7"/>
        <v>219.11008866199793</v>
      </c>
      <c r="M41" s="158">
        <f t="shared" ref="M41" si="38">M40+0.5</f>
        <v>106.8</v>
      </c>
      <c r="N41" s="73">
        <f t="shared" si="8"/>
        <v>219.11008866199793</v>
      </c>
      <c r="O41" s="79">
        <f t="shared" si="18"/>
        <v>106.8</v>
      </c>
      <c r="AB41" s="72">
        <f t="shared" si="33"/>
        <v>489.17433287798951</v>
      </c>
      <c r="AC41" s="73">
        <f t="shared" si="34"/>
        <v>42.244094488188978</v>
      </c>
      <c r="AD41" s="73">
        <f t="shared" si="35"/>
        <v>489.17433287798951</v>
      </c>
      <c r="AE41" s="74">
        <f t="shared" si="36"/>
        <v>42.244094488188978</v>
      </c>
    </row>
    <row r="42" spans="12:32" x14ac:dyDescent="0.3">
      <c r="L42" s="72">
        <f t="shared" si="7"/>
        <v>221.88574499329619</v>
      </c>
      <c r="M42" s="158">
        <v>107.3</v>
      </c>
      <c r="N42" s="73">
        <f t="shared" si="8"/>
        <v>221.88574499329619</v>
      </c>
      <c r="O42" s="79">
        <f t="shared" si="18"/>
        <v>107.3</v>
      </c>
      <c r="AB42" s="72">
        <f t="shared" si="33"/>
        <v>495.34506936887385</v>
      </c>
      <c r="AC42" s="73">
        <f t="shared" si="34"/>
        <v>42.440944881889763</v>
      </c>
      <c r="AD42" s="73">
        <f t="shared" si="35"/>
        <v>495.34506936887385</v>
      </c>
      <c r="AE42" s="74">
        <f t="shared" si="36"/>
        <v>42.440944881889763</v>
      </c>
    </row>
    <row r="43" spans="12:32" x14ac:dyDescent="0.3">
      <c r="L43" s="72">
        <f t="shared" si="7"/>
        <v>224.68474398284189</v>
      </c>
      <c r="M43" s="158">
        <f t="shared" ref="M43" si="39">M42+0.5</f>
        <v>107.8</v>
      </c>
      <c r="N43" s="73">
        <f t="shared" si="8"/>
        <v>224.68474398284189</v>
      </c>
      <c r="O43" s="79">
        <f t="shared" si="18"/>
        <v>107.8</v>
      </c>
      <c r="AB43" s="72">
        <f t="shared" si="33"/>
        <v>501.56748309835353</v>
      </c>
      <c r="AC43" s="73">
        <f t="shared" si="34"/>
        <v>42.637795275590555</v>
      </c>
      <c r="AD43" s="73">
        <f t="shared" si="35"/>
        <v>501.56748309835353</v>
      </c>
      <c r="AE43" s="74">
        <f t="shared" si="36"/>
        <v>42.637795275590555</v>
      </c>
    </row>
    <row r="44" spans="12:32" x14ac:dyDescent="0.3">
      <c r="L44" s="72">
        <f t="shared" si="7"/>
        <v>227.50718337351711</v>
      </c>
      <c r="M44" s="158">
        <v>108.3</v>
      </c>
      <c r="N44" s="73">
        <f t="shared" si="8"/>
        <v>227.50718337351711</v>
      </c>
      <c r="O44" s="79">
        <f t="shared" si="18"/>
        <v>108.3</v>
      </c>
      <c r="AB44" s="72">
        <f t="shared" si="33"/>
        <v>507.84178955259819</v>
      </c>
      <c r="AC44" s="73">
        <f t="shared" si="34"/>
        <v>42.834645669291341</v>
      </c>
      <c r="AD44" s="73">
        <f t="shared" si="35"/>
        <v>507.84178955259819</v>
      </c>
      <c r="AE44" s="74">
        <f t="shared" si="36"/>
        <v>42.834645669291341</v>
      </c>
    </row>
    <row r="45" spans="12:32" x14ac:dyDescent="0.3">
      <c r="L45" s="72">
        <f t="shared" si="7"/>
        <v>230.35316090820425</v>
      </c>
      <c r="M45" s="158">
        <f t="shared" ref="M45" si="40">M44+0.5</f>
        <v>108.8</v>
      </c>
      <c r="N45" s="73">
        <f t="shared" si="8"/>
        <v>230.35316090820425</v>
      </c>
      <c r="O45" s="79">
        <f t="shared" si="18"/>
        <v>108.8</v>
      </c>
      <c r="AB45" s="72">
        <f t="shared" si="33"/>
        <v>514.16820421777686</v>
      </c>
      <c r="AC45" s="73">
        <f t="shared" si="34"/>
        <v>43.031496062992126</v>
      </c>
      <c r="AD45" s="73">
        <f t="shared" si="35"/>
        <v>514.16820421777686</v>
      </c>
      <c r="AE45" s="74">
        <f t="shared" si="36"/>
        <v>43.031496062992126</v>
      </c>
    </row>
    <row r="46" spans="12:32" x14ac:dyDescent="0.3">
      <c r="L46" s="72">
        <f t="shared" si="7"/>
        <v>233.22277432978541</v>
      </c>
      <c r="M46" s="158">
        <v>109.3</v>
      </c>
      <c r="N46" s="73">
        <f t="shared" si="8"/>
        <v>233.22277432978541</v>
      </c>
      <c r="O46" s="79">
        <f t="shared" si="18"/>
        <v>109.3</v>
      </c>
      <c r="AB46" s="72">
        <f t="shared" si="33"/>
        <v>520.54694258005918</v>
      </c>
      <c r="AC46" s="73">
        <f t="shared" si="34"/>
        <v>43.228346456692918</v>
      </c>
      <c r="AD46" s="73">
        <f t="shared" si="35"/>
        <v>520.54694258005918</v>
      </c>
      <c r="AE46" s="74">
        <f t="shared" si="36"/>
        <v>43.228346456692918</v>
      </c>
    </row>
    <row r="47" spans="12:32" x14ac:dyDescent="0.3">
      <c r="L47" s="72">
        <f t="shared" si="7"/>
        <v>236.11612138114299</v>
      </c>
      <c r="M47" s="158">
        <f t="shared" ref="M47" si="41">M46+0.5</f>
        <v>109.8</v>
      </c>
      <c r="N47" s="73">
        <f t="shared" si="8"/>
        <v>236.11612138114299</v>
      </c>
      <c r="O47" s="79">
        <f t="shared" si="18"/>
        <v>109.8</v>
      </c>
      <c r="AB47" s="72">
        <f t="shared" si="33"/>
        <v>526.97822012561437</v>
      </c>
      <c r="AC47" s="73">
        <f t="shared" si="34"/>
        <v>43.425196850393704</v>
      </c>
      <c r="AD47" s="73">
        <f t="shared" si="35"/>
        <v>526.97822012561437</v>
      </c>
      <c r="AE47" s="74">
        <f t="shared" si="36"/>
        <v>43.425196850393704</v>
      </c>
    </row>
    <row r="48" spans="12:32" x14ac:dyDescent="0.3">
      <c r="L48" s="72">
        <f t="shared" si="7"/>
        <v>239.03329980515912</v>
      </c>
      <c r="M48" s="158">
        <v>110.3</v>
      </c>
      <c r="N48" s="73">
        <f t="shared" si="8"/>
        <v>239.03329980515912</v>
      </c>
      <c r="O48" s="79">
        <f t="shared" si="18"/>
        <v>110.3</v>
      </c>
      <c r="AB48" s="72">
        <f t="shared" si="33"/>
        <v>533.46225234061171</v>
      </c>
      <c r="AC48" s="73">
        <f t="shared" si="34"/>
        <v>43.622047244094496</v>
      </c>
      <c r="AD48" s="73">
        <f t="shared" si="35"/>
        <v>533.46225234061171</v>
      </c>
      <c r="AE48" s="74">
        <f t="shared" si="36"/>
        <v>43.622047244094496</v>
      </c>
    </row>
    <row r="49" spans="12:31" x14ac:dyDescent="0.3">
      <c r="L49" s="72">
        <f t="shared" si="7"/>
        <v>241.97440734471613</v>
      </c>
      <c r="M49" s="158">
        <f t="shared" ref="M49" si="42">M48+0.5</f>
        <v>110.8</v>
      </c>
      <c r="N49" s="73">
        <f t="shared" si="8"/>
        <v>241.97440734471613</v>
      </c>
      <c r="O49" s="79">
        <f t="shared" si="18"/>
        <v>110.8</v>
      </c>
      <c r="AB49" s="72">
        <f t="shared" si="33"/>
        <v>539.9992547112206</v>
      </c>
      <c r="AC49" s="73">
        <f t="shared" si="34"/>
        <v>43.818897637795274</v>
      </c>
      <c r="AD49" s="73">
        <f t="shared" si="35"/>
        <v>539.9992547112206</v>
      </c>
      <c r="AE49" s="74">
        <f t="shared" si="36"/>
        <v>43.818897637795274</v>
      </c>
    </row>
    <row r="50" spans="12:31" x14ac:dyDescent="0.3">
      <c r="L50" s="72">
        <f t="shared" si="7"/>
        <v>244.93954174269624</v>
      </c>
      <c r="M50" s="158">
        <v>111.3</v>
      </c>
      <c r="N50" s="73">
        <f t="shared" si="8"/>
        <v>244.93954174269624</v>
      </c>
      <c r="O50" s="79">
        <f t="shared" si="18"/>
        <v>111.3</v>
      </c>
      <c r="AB50" s="72">
        <f t="shared" si="33"/>
        <v>546.58944272361055</v>
      </c>
      <c r="AC50" s="73">
        <f t="shared" si="34"/>
        <v>44.015748031496059</v>
      </c>
      <c r="AD50" s="73">
        <f t="shared" si="35"/>
        <v>546.58944272361055</v>
      </c>
      <c r="AE50" s="74">
        <f t="shared" si="36"/>
        <v>44.015748031496059</v>
      </c>
    </row>
    <row r="51" spans="12:31" x14ac:dyDescent="0.3">
      <c r="L51" s="72">
        <f t="shared" si="7"/>
        <v>247.92880074198175</v>
      </c>
      <c r="M51" s="158">
        <f t="shared" ref="M51" si="43">M50+0.5</f>
        <v>111.8</v>
      </c>
      <c r="N51" s="73">
        <f t="shared" si="8"/>
        <v>247.92880074198175</v>
      </c>
      <c r="O51" s="79">
        <f t="shared" si="18"/>
        <v>111.8</v>
      </c>
      <c r="AB51" s="72">
        <f t="shared" si="33"/>
        <v>553.2330318639506</v>
      </c>
      <c r="AC51" s="73">
        <f t="shared" si="34"/>
        <v>44.212598425196852</v>
      </c>
      <c r="AD51" s="73">
        <f t="shared" si="35"/>
        <v>553.2330318639506</v>
      </c>
      <c r="AE51" s="74">
        <f t="shared" si="36"/>
        <v>44.212598425196852</v>
      </c>
    </row>
    <row r="52" spans="12:31" x14ac:dyDescent="0.3">
      <c r="L52" s="72">
        <f t="shared" si="7"/>
        <v>250.94228208545485</v>
      </c>
      <c r="M52" s="158">
        <v>112.3</v>
      </c>
      <c r="N52" s="73">
        <f t="shared" si="8"/>
        <v>250.94228208545485</v>
      </c>
      <c r="O52" s="79">
        <f t="shared" si="18"/>
        <v>112.3</v>
      </c>
      <c r="AB52" s="72">
        <f t="shared" si="33"/>
        <v>559.93023761840982</v>
      </c>
      <c r="AC52" s="73">
        <f t="shared" si="34"/>
        <v>44.409448818897637</v>
      </c>
      <c r="AD52" s="73">
        <f t="shared" si="35"/>
        <v>559.93023761840982</v>
      </c>
      <c r="AE52" s="74">
        <f t="shared" si="36"/>
        <v>44.409448818897637</v>
      </c>
    </row>
    <row r="53" spans="12:31" x14ac:dyDescent="0.3">
      <c r="L53" s="72">
        <f t="shared" si="7"/>
        <v>253.98008351599771</v>
      </c>
      <c r="M53" s="158">
        <f t="shared" ref="M53" si="44">M52+0.5</f>
        <v>112.8</v>
      </c>
      <c r="N53" s="73">
        <f t="shared" si="8"/>
        <v>253.98008351599771</v>
      </c>
      <c r="O53" s="79">
        <f t="shared" si="18"/>
        <v>112.8</v>
      </c>
      <c r="AB53" s="72">
        <f t="shared" si="33"/>
        <v>566.68127547315817</v>
      </c>
      <c r="AC53" s="73">
        <f t="shared" si="34"/>
        <v>44.606299212598422</v>
      </c>
      <c r="AD53" s="73">
        <f t="shared" si="35"/>
        <v>566.68127547315817</v>
      </c>
      <c r="AE53" s="74">
        <f t="shared" si="36"/>
        <v>44.606299212598422</v>
      </c>
    </row>
    <row r="54" spans="12:31" x14ac:dyDescent="0.3">
      <c r="L54" s="72">
        <f t="shared" si="7"/>
        <v>257.0423027764927</v>
      </c>
      <c r="M54" s="158">
        <v>113.3</v>
      </c>
      <c r="N54" s="73">
        <f t="shared" si="8"/>
        <v>257.0423027764927</v>
      </c>
      <c r="O54" s="79">
        <f t="shared" si="18"/>
        <v>113.3</v>
      </c>
      <c r="AB54" s="72">
        <f t="shared" si="33"/>
        <v>573.4863609143647</v>
      </c>
      <c r="AC54" s="73">
        <f t="shared" si="34"/>
        <v>44.803149606299215</v>
      </c>
      <c r="AD54" s="73">
        <f t="shared" si="35"/>
        <v>573.4863609143647</v>
      </c>
      <c r="AE54" s="74">
        <f t="shared" si="36"/>
        <v>44.803149606299215</v>
      </c>
    </row>
    <row r="55" spans="12:31" x14ac:dyDescent="0.3">
      <c r="L55" s="72">
        <f t="shared" si="7"/>
        <v>260.12903760982203</v>
      </c>
      <c r="M55" s="158">
        <f t="shared" ref="M55" si="45">M54+0.5</f>
        <v>113.8</v>
      </c>
      <c r="N55" s="73">
        <f t="shared" si="8"/>
        <v>260.12903760982203</v>
      </c>
      <c r="O55" s="79">
        <f t="shared" si="18"/>
        <v>113.8</v>
      </c>
      <c r="AB55" s="72">
        <f t="shared" si="33"/>
        <v>580.3457094281988</v>
      </c>
      <c r="AC55" s="73">
        <f t="shared" si="34"/>
        <v>45</v>
      </c>
      <c r="AD55" s="73">
        <f t="shared" si="35"/>
        <v>580.3457094281988</v>
      </c>
      <c r="AE55" s="74">
        <f t="shared" si="36"/>
        <v>45</v>
      </c>
    </row>
    <row r="56" spans="12:31" x14ac:dyDescent="0.3">
      <c r="L56" s="72">
        <f t="shared" si="7"/>
        <v>263.24038575886806</v>
      </c>
      <c r="M56" s="158">
        <v>114.3</v>
      </c>
      <c r="N56" s="73">
        <f t="shared" si="8"/>
        <v>263.24038575886806</v>
      </c>
      <c r="O56" s="79">
        <f t="shared" si="18"/>
        <v>114.3</v>
      </c>
      <c r="AB56" s="72">
        <f t="shared" si="33"/>
        <v>587.25953650082954</v>
      </c>
      <c r="AC56" s="73">
        <f t="shared" si="34"/>
        <v>45.196850393700792</v>
      </c>
      <c r="AD56" s="73">
        <f t="shared" si="35"/>
        <v>587.25953650082954</v>
      </c>
      <c r="AE56" s="74">
        <f t="shared" si="36"/>
        <v>45.196850393700792</v>
      </c>
    </row>
    <row r="57" spans="12:31" ht="15" thickBot="1" x14ac:dyDescent="0.35">
      <c r="L57" s="72">
        <f t="shared" si="7"/>
        <v>266.37644496651279</v>
      </c>
      <c r="M57" s="158">
        <f t="shared" ref="M57" si="46">M56+0.5</f>
        <v>114.8</v>
      </c>
      <c r="N57" s="73">
        <f t="shared" si="8"/>
        <v>266.37644496651279</v>
      </c>
      <c r="O57" s="79">
        <f t="shared" si="18"/>
        <v>114.8</v>
      </c>
      <c r="AB57" s="75">
        <f t="shared" si="33"/>
        <v>594.22805761842676</v>
      </c>
      <c r="AC57" s="77">
        <f t="shared" si="34"/>
        <v>45.393700787401578</v>
      </c>
      <c r="AD57" s="77">
        <f t="shared" si="35"/>
        <v>594.22805761842676</v>
      </c>
      <c r="AE57" s="78">
        <f t="shared" si="36"/>
        <v>45.393700787401578</v>
      </c>
    </row>
    <row r="58" spans="12:31" ht="15" thickBot="1" x14ac:dyDescent="0.35">
      <c r="L58" s="75">
        <f t="shared" si="7"/>
        <v>269.53731297563877</v>
      </c>
      <c r="M58" s="76">
        <v>115.3</v>
      </c>
      <c r="N58" s="77">
        <f t="shared" si="8"/>
        <v>269.53731297563877</v>
      </c>
      <c r="O58" s="80">
        <f t="shared" si="18"/>
        <v>115.3</v>
      </c>
      <c r="AB58" s="36"/>
      <c r="AC58" s="36"/>
    </row>
    <row r="59" spans="12:31" x14ac:dyDescent="0.3">
      <c r="L59" s="36"/>
      <c r="M59" s="124"/>
      <c r="AB59" s="36"/>
      <c r="AC59" s="36"/>
    </row>
  </sheetData>
  <mergeCells count="7">
    <mergeCell ref="AB3:AE3"/>
    <mergeCell ref="L4:O4"/>
    <mergeCell ref="Q4:T4"/>
    <mergeCell ref="F5:G5"/>
    <mergeCell ref="H5:I5"/>
    <mergeCell ref="V5:W5"/>
    <mergeCell ref="X5:Y5"/>
  </mergeCells>
  <pageMargins left="0.70000000000000007" right="0.70000000000000007" top="0.75" bottom="0.75" header="0.30000000000000004" footer="0.30000000000000004"/>
  <pageSetup paperSize="0" fitToWidth="0" fitToHeight="0" orientation="portrait" horizontalDpi="0" verticalDpi="0" copies="0"/>
  <ignoredErrors>
    <ignoredError sqref="M7:N58 AC5:AC5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8CA1-5C71-4F2D-99AB-F624BAEE28BE}">
  <sheetPr codeName="Sheet3">
    <tabColor theme="0"/>
  </sheetPr>
  <dimension ref="B1:H76"/>
  <sheetViews>
    <sheetView showGridLines="0" zoomScale="70" zoomScaleNormal="70" workbookViewId="0">
      <selection activeCell="B6" sqref="B6"/>
    </sheetView>
  </sheetViews>
  <sheetFormatPr defaultColWidth="8.88671875" defaultRowHeight="14.4" x14ac:dyDescent="0.3"/>
  <cols>
    <col min="1" max="1" width="8.88671875" style="82"/>
    <col min="2" max="2" width="54.6640625" style="82" customWidth="1"/>
    <col min="3" max="5" width="24.33203125" style="82" customWidth="1"/>
    <col min="6" max="6" width="7.33203125" style="82" customWidth="1"/>
    <col min="7" max="8" width="25.6640625" style="82" customWidth="1"/>
    <col min="9" max="9" width="57.88671875" style="82" bestFit="1" customWidth="1"/>
    <col min="10" max="11" width="20.88671875" style="82" customWidth="1"/>
    <col min="12" max="16384" width="8.88671875" style="82"/>
  </cols>
  <sheetData>
    <row r="1" spans="2:5" ht="27" customHeight="1" x14ac:dyDescent="0.3"/>
    <row r="2" spans="2:5" ht="27" customHeight="1" x14ac:dyDescent="0.3">
      <c r="B2" s="139"/>
      <c r="C2" s="139"/>
      <c r="D2" s="139"/>
      <c r="E2" s="139"/>
    </row>
    <row r="3" spans="2:5" s="84" customFormat="1" ht="27" customHeight="1" x14ac:dyDescent="0.3">
      <c r="B3" s="126"/>
      <c r="C3" s="127"/>
      <c r="D3" s="85"/>
      <c r="E3" s="85"/>
    </row>
    <row r="4" spans="2:5" s="84" customFormat="1" ht="27" customHeight="1" x14ac:dyDescent="0.3">
      <c r="B4" s="128" t="s">
        <v>89</v>
      </c>
      <c r="C4" s="127"/>
      <c r="D4" s="85"/>
      <c r="E4" s="85" t="s">
        <v>79</v>
      </c>
    </row>
    <row r="5" spans="2:5" s="84" customFormat="1" ht="27" customHeight="1" thickBot="1" x14ac:dyDescent="0.35">
      <c r="B5" s="129"/>
      <c r="C5" s="86"/>
      <c r="D5" s="85"/>
      <c r="E5" s="85"/>
    </row>
    <row r="6" spans="2:5" ht="21.6" customHeight="1" thickTop="1" thickBot="1" x14ac:dyDescent="0.35">
      <c r="B6" s="145" t="s">
        <v>11</v>
      </c>
      <c r="C6" s="87">
        <v>10.29</v>
      </c>
      <c r="D6" s="103"/>
      <c r="E6" s="104"/>
    </row>
    <row r="7" spans="2:5" ht="21.6" hidden="1" customHeight="1" thickTop="1" thickBot="1" x14ac:dyDescent="0.35">
      <c r="B7" s="88" t="s">
        <v>112</v>
      </c>
      <c r="C7" s="137">
        <f>_xlfn.IFS(B6=B17,C6*1000,B6=B19,C6/0.76*1000,B6=B21,C6/0.745*1000,B6=B18,CONVERT(C6,"MJ","kcal"),B6=B20,CONVERT(C6,"MJ","kcal")/0.76,B6=B22,CONVERT(C6,"MJ","kcal")/0.745)</f>
        <v>3298.9587601301109</v>
      </c>
      <c r="E7" s="83"/>
    </row>
    <row r="8" spans="2:5" ht="21.6" hidden="1" customHeight="1" thickTop="1" thickBot="1" x14ac:dyDescent="0.35">
      <c r="B8" s="130" t="s">
        <v>82</v>
      </c>
      <c r="C8" s="89">
        <v>170</v>
      </c>
      <c r="E8" s="83"/>
    </row>
    <row r="9" spans="2:5" ht="16.95" customHeight="1" thickTop="1" x14ac:dyDescent="0.3">
      <c r="B9" s="140" t="s">
        <v>89</v>
      </c>
    </row>
    <row r="10" spans="2:5" ht="16.95" customHeight="1" x14ac:dyDescent="0.3"/>
    <row r="11" spans="2:5" ht="18.600000000000001" thickBot="1" x14ac:dyDescent="0.35">
      <c r="B11" s="107" t="s">
        <v>119</v>
      </c>
      <c r="C11" s="92"/>
      <c r="D11" s="92"/>
      <c r="E11" s="92"/>
    </row>
    <row r="12" spans="2:5" ht="44.4" customHeight="1" thickTop="1" thickBot="1" x14ac:dyDescent="0.35">
      <c r="B12" s="91" t="s">
        <v>95</v>
      </c>
      <c r="C12" s="91" t="str">
        <f>IF(B6=B17,B24,IF(B6=B18,B25,IF(B6=B19,B26,IF(B6=B20,B27,IF(B6=B21,B26,IF(B6=B22,B27))))))</f>
        <v>NE, MJ/day</v>
      </c>
      <c r="D12" s="108" t="s">
        <v>94</v>
      </c>
      <c r="E12" s="109" t="s">
        <v>2</v>
      </c>
    </row>
    <row r="13" spans="2:5" ht="21.6" customHeight="1" thickTop="1" thickBot="1" x14ac:dyDescent="0.35">
      <c r="B13" s="110" t="s">
        <v>96</v>
      </c>
      <c r="C13" s="114">
        <f>IF(B6=B17,C17,IF(B6=B18,C18,IF(B6=B19,C19,IF(B6=B20,C20,IF(B6=B21,C21,IF(B6=B22,C22))))))</f>
        <v>24.953327999999999</v>
      </c>
      <c r="D13" s="110">
        <f>C17/($C$7/1000)</f>
        <v>2.4250075801749276</v>
      </c>
      <c r="E13" s="121">
        <f>D13*$C$64*1000</f>
        <v>14.857142857142856</v>
      </c>
    </row>
    <row r="14" spans="2:5" ht="21.6" customHeight="1" thickTop="1" thickBot="1" x14ac:dyDescent="0.35">
      <c r="B14" s="110" t="s">
        <v>122</v>
      </c>
      <c r="C14" s="114">
        <f>IF(B6=B17,D17,IF(B6=B18,D18,IF(B6=B19,D19,IF(B6=B20,D20,IF(B6=B21,D21,IF(B6=B22,D22))))))</f>
        <v>15.283913399999999</v>
      </c>
      <c r="D14" s="110">
        <f>D17/($C$7/1000)</f>
        <v>1.4853171428571432</v>
      </c>
      <c r="E14" s="121">
        <f>D14*$C$64*1000</f>
        <v>9.0999999999999979</v>
      </c>
    </row>
    <row r="15" spans="2:5" ht="16.95" customHeight="1" thickTop="1" x14ac:dyDescent="0.3">
      <c r="B15" s="165" t="str">
        <f>IF(B6=B17," ",IF(B6=B18," ",IF(B6=B19,B29,IF(B6=B20,B29,IF(B6=B21,B30,IF(B6=B22,B30))))))</f>
        <v>Net Energy, using low fiber (&gt;12% NDF), the NE/ME ratio is 74.5%</v>
      </c>
      <c r="C15" s="165"/>
      <c r="D15" s="165"/>
    </row>
    <row r="16" spans="2:5" ht="21" hidden="1" customHeight="1" thickBot="1" x14ac:dyDescent="0.35">
      <c r="B16" s="94"/>
      <c r="C16" s="95" t="s">
        <v>87</v>
      </c>
      <c r="D16" s="95" t="s">
        <v>5</v>
      </c>
    </row>
    <row r="17" spans="2:4" ht="21" hidden="1" customHeight="1" thickTop="1" x14ac:dyDescent="0.3">
      <c r="B17" s="96" t="s">
        <v>97</v>
      </c>
      <c r="C17" s="97">
        <v>8</v>
      </c>
      <c r="D17" s="97">
        <v>4.9000000000000004</v>
      </c>
    </row>
    <row r="18" spans="2:4" ht="21" hidden="1" customHeight="1" x14ac:dyDescent="0.3">
      <c r="B18" s="96" t="s">
        <v>9</v>
      </c>
      <c r="C18" s="97">
        <f>(CONVERT(C17,"Mcal","MJ"))</f>
        <v>33.494399999999999</v>
      </c>
      <c r="D18" s="97">
        <f>(CONVERT(D17,"Mcal","MJ"))</f>
        <v>20.515319999999999</v>
      </c>
    </row>
    <row r="19" spans="2:4" ht="21" hidden="1" customHeight="1" x14ac:dyDescent="0.3">
      <c r="B19" s="96" t="s">
        <v>98</v>
      </c>
      <c r="C19" s="97">
        <f>C17*0.76</f>
        <v>6.08</v>
      </c>
      <c r="D19" s="97">
        <f>D17*0.76</f>
        <v>3.7240000000000002</v>
      </c>
    </row>
    <row r="20" spans="2:4" ht="21" hidden="1" customHeight="1" x14ac:dyDescent="0.3">
      <c r="B20" s="96" t="s">
        <v>10</v>
      </c>
      <c r="C20" s="97">
        <f>(CONVERT(C19,"Mcal","MJ"))</f>
        <v>25.455743999999999</v>
      </c>
      <c r="D20" s="97">
        <f>(CONVERT(D19,"Mcal","MJ"))</f>
        <v>15.5916432</v>
      </c>
    </row>
    <row r="21" spans="2:4" ht="21" hidden="1" customHeight="1" x14ac:dyDescent="0.3">
      <c r="B21" s="96" t="s">
        <v>99</v>
      </c>
      <c r="C21" s="97">
        <f>C17*0.745</f>
        <v>5.96</v>
      </c>
      <c r="D21" s="97">
        <f>D17*0.745</f>
        <v>3.6505000000000001</v>
      </c>
    </row>
    <row r="22" spans="2:4" ht="21" hidden="1" customHeight="1" x14ac:dyDescent="0.3">
      <c r="B22" s="96" t="s">
        <v>11</v>
      </c>
      <c r="C22" s="97">
        <f>(CONVERT(C21,"Mcal","MJ"))</f>
        <v>24.953327999999999</v>
      </c>
      <c r="D22" s="97">
        <f>(CONVERT(D21,"Mcal","MJ"))</f>
        <v>15.283913399999999</v>
      </c>
    </row>
    <row r="23" spans="2:4" ht="21" hidden="1" customHeight="1" x14ac:dyDescent="0.3"/>
    <row r="24" spans="2:4" ht="21" hidden="1" customHeight="1" x14ac:dyDescent="0.3">
      <c r="B24" s="98" t="s">
        <v>90</v>
      </c>
    </row>
    <row r="25" spans="2:4" ht="21" hidden="1" customHeight="1" x14ac:dyDescent="0.3">
      <c r="B25" s="98" t="s">
        <v>91</v>
      </c>
    </row>
    <row r="26" spans="2:4" ht="21" hidden="1" customHeight="1" x14ac:dyDescent="0.3">
      <c r="B26" s="98" t="s">
        <v>92</v>
      </c>
    </row>
    <row r="27" spans="2:4" ht="21" hidden="1" customHeight="1" x14ac:dyDescent="0.3">
      <c r="B27" s="98" t="s">
        <v>93</v>
      </c>
    </row>
    <row r="28" spans="2:4" ht="21" hidden="1" customHeight="1" x14ac:dyDescent="0.3"/>
    <row r="29" spans="2:4" ht="21" hidden="1" customHeight="1" x14ac:dyDescent="0.3">
      <c r="B29" s="166" t="s">
        <v>13</v>
      </c>
      <c r="C29" s="167"/>
    </row>
    <row r="30" spans="2:4" ht="21" hidden="1" customHeight="1" x14ac:dyDescent="0.3">
      <c r="B30" s="166" t="s">
        <v>14</v>
      </c>
      <c r="C30" s="167"/>
    </row>
    <row r="31" spans="2:4" hidden="1" x14ac:dyDescent="0.3"/>
    <row r="32" spans="2:4" hidden="1" x14ac:dyDescent="0.3"/>
    <row r="33" spans="2:7" hidden="1" x14ac:dyDescent="0.3"/>
    <row r="34" spans="2:7" hidden="1" x14ac:dyDescent="0.3">
      <c r="B34" s="101" t="s">
        <v>88</v>
      </c>
      <c r="C34" s="101" t="s">
        <v>121</v>
      </c>
      <c r="D34" s="101" t="s">
        <v>120</v>
      </c>
    </row>
    <row r="35" spans="2:7" hidden="1" x14ac:dyDescent="0.3">
      <c r="B35" s="99" t="s">
        <v>3</v>
      </c>
      <c r="C35" s="100">
        <f>$D$13</f>
        <v>2.4250075801749276</v>
      </c>
      <c r="D35" s="100">
        <f>$D$14</f>
        <v>1.4853171428571432</v>
      </c>
    </row>
    <row r="36" spans="2:7" hidden="1" x14ac:dyDescent="0.3">
      <c r="B36" s="99" t="s">
        <v>7</v>
      </c>
      <c r="C36" s="100">
        <f>$D$13</f>
        <v>2.4250075801749276</v>
      </c>
      <c r="D36" s="100">
        <f>$D$14</f>
        <v>1.4853171428571432</v>
      </c>
    </row>
    <row r="37" spans="2:7" hidden="1" x14ac:dyDescent="0.3">
      <c r="B37" s="99" t="s">
        <v>8</v>
      </c>
      <c r="C37" s="100">
        <f>$D$13</f>
        <v>2.4250075801749276</v>
      </c>
      <c r="D37" s="100">
        <f>$D$14</f>
        <v>1.4853171428571432</v>
      </c>
    </row>
    <row r="38" spans="2:7" hidden="1" x14ac:dyDescent="0.3">
      <c r="B38" s="99" t="s">
        <v>4</v>
      </c>
      <c r="C38" s="100">
        <f>$D$13</f>
        <v>2.4250075801749276</v>
      </c>
      <c r="D38" s="100">
        <f>$D$14</f>
        <v>1.4853171428571432</v>
      </c>
    </row>
    <row r="39" spans="2:7" hidden="1" x14ac:dyDescent="0.3">
      <c r="B39" s="99" t="s">
        <v>36</v>
      </c>
      <c r="C39" s="100">
        <f>C38</f>
        <v>2.4250075801749276</v>
      </c>
      <c r="D39" s="100">
        <f>D38</f>
        <v>1.4853171428571432</v>
      </c>
    </row>
    <row r="40" spans="2:7" hidden="1" x14ac:dyDescent="0.3">
      <c r="B40" s="99"/>
      <c r="C40" s="100"/>
      <c r="D40" s="100"/>
    </row>
    <row r="41" spans="2:7" ht="20.399999999999999" hidden="1" thickBot="1" x14ac:dyDescent="0.35">
      <c r="B41" s="107" t="str">
        <f>"Table 2. Base allocation (" &amp;ROUND(D14,2)&amp; " kg/d) as percent of daily intake to 100% maintenance"</f>
        <v>Table 2. Base allocation (1.49 kg/d) as percent of daily intake to 100% maintenance</v>
      </c>
      <c r="C41" s="86"/>
      <c r="D41" s="86"/>
      <c r="E41" s="86"/>
    </row>
    <row r="42" spans="2:7" ht="43.95" hidden="1" customHeight="1" thickTop="1" thickBot="1" x14ac:dyDescent="0.35">
      <c r="B42" s="90" t="s">
        <v>84</v>
      </c>
      <c r="C42" s="90" t="s">
        <v>86</v>
      </c>
      <c r="D42" s="91" t="s">
        <v>0</v>
      </c>
      <c r="E42" s="91" t="s">
        <v>85</v>
      </c>
    </row>
    <row r="43" spans="2:7" ht="21.6" hidden="1" customHeight="1" thickTop="1" thickBot="1" x14ac:dyDescent="0.35">
      <c r="B43" s="92" t="s">
        <v>81</v>
      </c>
      <c r="C43" s="105">
        <f>C8</f>
        <v>170</v>
      </c>
      <c r="D43" s="106">
        <f>(100*(C43)^0.75)/$C$7</f>
        <v>1.4271177392764975</v>
      </c>
      <c r="E43" s="122">
        <f>$D$14/D43*100</f>
        <v>104.07810806206858</v>
      </c>
      <c r="F43" s="113" t="str">
        <f>IF(E43&lt;100,"!","")</f>
        <v/>
      </c>
      <c r="G43" s="102"/>
    </row>
    <row r="44" spans="2:7" ht="20.399999999999999" hidden="1" customHeight="1" thickTop="1" thickBot="1" x14ac:dyDescent="0.35">
      <c r="B44" s="92" t="s">
        <v>80</v>
      </c>
      <c r="C44" s="105">
        <f>SUMPRODUCT('I. Herd Sire (metric)'!D9:D14,'I. Herd Sire (metric)'!O9:O14)</f>
        <v>209.11937846153847</v>
      </c>
      <c r="D44" s="106">
        <f>(100*(C44)^0.75)/$C$7</f>
        <v>1.6669356051499424</v>
      </c>
      <c r="E44" s="122">
        <f>$D$14/D44*100</f>
        <v>89.104650369714648</v>
      </c>
      <c r="F44" s="113" t="str">
        <f t="shared" ref="F44:F45" si="0">IF(E44&lt;100,"!","")</f>
        <v>!</v>
      </c>
      <c r="G44" s="102"/>
    </row>
    <row r="45" spans="2:7" ht="21.6" hidden="1" customHeight="1" thickTop="1" thickBot="1" x14ac:dyDescent="0.35">
      <c r="B45" s="92" t="s">
        <v>83</v>
      </c>
      <c r="C45" s="105">
        <f>SUMPRODUCT('I. Herd Sire (metric)'!C8:C14,'I. Herd Sire (metric)'!D8:D14)</f>
        <v>195.42759599999999</v>
      </c>
      <c r="D45" s="106">
        <f>(100*(C45)^0.75)/$C$7</f>
        <v>1.5843915982744776</v>
      </c>
      <c r="E45" s="122">
        <f>$D$14/D45*100</f>
        <v>93.746845443687405</v>
      </c>
      <c r="F45" s="113" t="str">
        <f t="shared" si="0"/>
        <v>!</v>
      </c>
      <c r="G45" s="102" t="s">
        <v>79</v>
      </c>
    </row>
    <row r="46" spans="2:7" ht="16.95" hidden="1" customHeight="1" thickTop="1" x14ac:dyDescent="0.3">
      <c r="B46" s="112" t="s">
        <v>100</v>
      </c>
    </row>
    <row r="47" spans="2:7" ht="16.95" customHeight="1" x14ac:dyDescent="0.3"/>
    <row r="48" spans="2:7" ht="22.2" customHeight="1" thickBot="1" x14ac:dyDescent="0.35">
      <c r="B48" s="160" t="s">
        <v>118</v>
      </c>
      <c r="C48" s="131"/>
      <c r="D48" s="131"/>
    </row>
    <row r="49" spans="2:8" ht="43.2" customHeight="1" thickTop="1" thickBot="1" x14ac:dyDescent="0.35">
      <c r="B49" s="132" t="s">
        <v>104</v>
      </c>
      <c r="C49" s="131" t="s">
        <v>110</v>
      </c>
      <c r="D49" s="133" t="s">
        <v>111</v>
      </c>
    </row>
    <row r="50" spans="2:8" ht="22.2" customHeight="1" thickTop="1" thickBot="1" x14ac:dyDescent="0.35">
      <c r="B50" s="132" t="str">
        <f>ROUND((FFS!V7),0)&amp; " to " &amp;ROUND((FFS!W7),0)</f>
        <v>89 to 98</v>
      </c>
      <c r="C50" s="132" t="str">
        <f>ROUND((FFS!X7),0)&amp; " to " &amp;ROUND((FFS!Y7),0)</f>
        <v>135 to 175</v>
      </c>
      <c r="D50" s="131">
        <f>FFS!Z7</f>
        <v>1.4584839356925501</v>
      </c>
      <c r="H50" s="134"/>
    </row>
    <row r="51" spans="2:8" ht="19.2" thickTop="1" thickBot="1" x14ac:dyDescent="0.35">
      <c r="B51" s="156" t="str">
        <f>ROUND((FFS!V8),0)&amp; " to " &amp;ROUND((FFS!W8),0)</f>
        <v>99 to 103</v>
      </c>
      <c r="C51" s="156" t="str">
        <f>ROUND((FFS!X8),0)&amp; " to " &amp;ROUND((FFS!Y8),0)</f>
        <v>176 to 200</v>
      </c>
      <c r="D51" s="157">
        <f>FFS!Z8</f>
        <v>1.6109042466522321</v>
      </c>
      <c r="H51" s="134"/>
    </row>
    <row r="52" spans="2:8" ht="19.2" thickTop="1" thickBot="1" x14ac:dyDescent="0.35">
      <c r="B52" s="132" t="str">
        <f>ROUND((FFS!V9),0)&amp; " to " &amp;ROUND((FFS!W9),0)</f>
        <v>104 to 109</v>
      </c>
      <c r="C52" s="132" t="str">
        <f>ROUND((FFS!X9),0)&amp; " to " &amp;ROUND((FFS!Y9),0)</f>
        <v>201 to 230</v>
      </c>
      <c r="D52" s="131">
        <f>FFS!Z9</f>
        <v>1.7902718811841609</v>
      </c>
      <c r="H52" s="134"/>
    </row>
    <row r="53" spans="2:8" ht="15" thickTop="1" x14ac:dyDescent="0.3">
      <c r="B53" s="112" t="s">
        <v>108</v>
      </c>
    </row>
    <row r="54" spans="2:8" x14ac:dyDescent="0.3">
      <c r="B54" s="112"/>
    </row>
    <row r="55" spans="2:8" x14ac:dyDescent="0.3">
      <c r="B55" s="112"/>
    </row>
    <row r="56" spans="2:8" x14ac:dyDescent="0.3">
      <c r="B56" s="135"/>
      <c r="C56" s="135"/>
    </row>
    <row r="57" spans="2:8" ht="18.600000000000001" thickBot="1" x14ac:dyDescent="0.35">
      <c r="B57" s="120" t="s">
        <v>114</v>
      </c>
      <c r="C57" s="110"/>
    </row>
    <row r="58" spans="2:8" ht="22.2" customHeight="1" thickTop="1" thickBot="1" x14ac:dyDescent="0.35">
      <c r="B58" s="132" t="s">
        <v>106</v>
      </c>
      <c r="C58" s="138">
        <v>109</v>
      </c>
    </row>
    <row r="59" spans="2:8" ht="22.2" customHeight="1" thickTop="1" thickBot="1" x14ac:dyDescent="0.35">
      <c r="B59" s="132" t="s">
        <v>105</v>
      </c>
      <c r="C59" s="92">
        <f>((C58*0.0507) + 0.6139)^3</f>
        <v>231.49816449680802</v>
      </c>
      <c r="E59" s="82" t="s">
        <v>79</v>
      </c>
    </row>
    <row r="60" spans="2:8" ht="22.2" customHeight="1" thickTop="1" thickBot="1" x14ac:dyDescent="0.35">
      <c r="B60" s="132" t="s">
        <v>107</v>
      </c>
      <c r="C60" s="131">
        <f>(100*(C59^0.75))/(FFS!$B$10*1000)</f>
        <v>1.799010828490885</v>
      </c>
    </row>
    <row r="61" spans="2:8" ht="15" hidden="1" thickTop="1" x14ac:dyDescent="0.3">
      <c r="C61" s="136">
        <f>((100*(C59^0.75)))/C7</f>
        <v>1.799010828490885</v>
      </c>
    </row>
    <row r="62" spans="2:8" ht="15" thickTop="1" x14ac:dyDescent="0.3">
      <c r="B62" s="135"/>
      <c r="C62" s="135"/>
    </row>
    <row r="63" spans="2:8" ht="20.399999999999999" thickBot="1" x14ac:dyDescent="0.35">
      <c r="B63" s="141" t="s">
        <v>116</v>
      </c>
      <c r="C63" s="125"/>
    </row>
    <row r="64" spans="2:8" ht="19.2" thickTop="1" thickBot="1" x14ac:dyDescent="0.35">
      <c r="B64" s="88" t="s">
        <v>1</v>
      </c>
      <c r="C64" s="142">
        <f>9.1/D14/1000</f>
        <v>6.1266376973844912E-3</v>
      </c>
    </row>
    <row r="65" spans="2:3" ht="19.2" thickTop="1" thickBot="1" x14ac:dyDescent="0.35">
      <c r="B65" s="88" t="s">
        <v>39</v>
      </c>
      <c r="C65" s="143">
        <v>0.7</v>
      </c>
    </row>
    <row r="66" spans="2:3" ht="19.2" thickTop="1" thickBot="1" x14ac:dyDescent="0.35">
      <c r="B66" s="88" t="s">
        <v>40</v>
      </c>
      <c r="C66" s="143">
        <v>0.76</v>
      </c>
    </row>
    <row r="67" spans="2:3" ht="19.2" thickTop="1" thickBot="1" x14ac:dyDescent="0.35">
      <c r="B67" s="88" t="s">
        <v>41</v>
      </c>
      <c r="C67" s="143">
        <v>0.19</v>
      </c>
    </row>
    <row r="68" spans="2:3" ht="19.2" thickTop="1" thickBot="1" x14ac:dyDescent="0.35">
      <c r="B68" s="88" t="s">
        <v>42</v>
      </c>
      <c r="C68" s="143">
        <v>0.71</v>
      </c>
    </row>
    <row r="69" spans="2:3" ht="19.2" thickTop="1" thickBot="1" x14ac:dyDescent="0.35">
      <c r="B69" s="88" t="s">
        <v>44</v>
      </c>
      <c r="C69" s="143">
        <v>0.57999999999999996</v>
      </c>
    </row>
    <row r="70" spans="2:3" ht="19.2" thickTop="1" thickBot="1" x14ac:dyDescent="0.35">
      <c r="B70" s="88" t="s">
        <v>43</v>
      </c>
      <c r="C70" s="143">
        <v>0.92</v>
      </c>
    </row>
    <row r="71" spans="2:3" ht="19.2" thickTop="1" thickBot="1" x14ac:dyDescent="0.35">
      <c r="B71" s="88" t="s">
        <v>49</v>
      </c>
      <c r="C71" s="143">
        <v>0.35</v>
      </c>
    </row>
    <row r="72" spans="2:3" ht="19.2" thickTop="1" thickBot="1" x14ac:dyDescent="0.35">
      <c r="B72" s="88" t="s">
        <v>45</v>
      </c>
      <c r="C72" s="142">
        <f>(((5.9/3.23)*8.5)/$D$14)/1000</f>
        <v>1.0453199078822587E-2</v>
      </c>
    </row>
    <row r="73" spans="2:3" ht="19.2" thickTop="1" thickBot="1" x14ac:dyDescent="0.35">
      <c r="B73" s="88" t="s">
        <v>46</v>
      </c>
      <c r="C73" s="142">
        <f>(((5.9/3.23)*4)/$D$14)/1000</f>
        <v>4.9191525076812178E-3</v>
      </c>
    </row>
    <row r="74" spans="2:3" ht="19.2" thickTop="1" thickBot="1" x14ac:dyDescent="0.35">
      <c r="B74" s="88" t="s">
        <v>47</v>
      </c>
      <c r="C74" s="142">
        <f>(((5.9/3.23)*4.4)/$D$14)/1000</f>
        <v>5.4110677584493401E-3</v>
      </c>
    </row>
    <row r="75" spans="2:3" ht="19.2" thickTop="1" thickBot="1" x14ac:dyDescent="0.35">
      <c r="B75" s="88" t="s">
        <v>48</v>
      </c>
      <c r="C75" s="142">
        <f>(((5.9/3.23)*2.4)/$D$14)/1000</f>
        <v>2.9514915046087303E-3</v>
      </c>
    </row>
    <row r="76" spans="2:3" ht="18" x14ac:dyDescent="0.3">
      <c r="B76" s="112" t="s">
        <v>115</v>
      </c>
      <c r="C76" s="144"/>
    </row>
  </sheetData>
  <sheetProtection algorithmName="SHA-512" hashValue="iIS28gceNKIZ+36dGp1y0IPo7r5NeCy+uCzyVJ6RdlTE9MNLoRTwU9HNJCHKt9q/9uUE8M1OzZt00Wthkl+ngA==" saltValue="siYq+ne3filYgW3upF3POg==" spinCount="100000" sheet="1" objects="1" scenarios="1" selectLockedCells="1"/>
  <mergeCells count="3">
    <mergeCell ref="B15:D15"/>
    <mergeCell ref="B29:C29"/>
    <mergeCell ref="B30:C30"/>
  </mergeCells>
  <conditionalFormatting sqref="E43:E45">
    <cfRule type="cellIs" dxfId="0" priority="1" operator="lessThan">
      <formula>100</formula>
    </cfRule>
  </conditionalFormatting>
  <dataValidations count="1">
    <dataValidation type="list" allowBlank="1" showInputMessage="1" showErrorMessage="1" sqref="B6" xr:uid="{FBEE9B55-0E07-4C74-B8D3-01F8E08FEAB6}">
      <formula1>$B$17:$B$22</formula1>
    </dataValidation>
  </dataValidations>
  <pageMargins left="0.7" right="0.7" top="0.75" bottom="0.75" header="0.3" footer="0.3"/>
  <pageSetup orientation="portrait" r:id="rId1"/>
  <ignoredErrors>
    <ignoredError sqref="C19:D21" formula="1"/>
    <ignoredError sqref="B52 B50"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04EB-B075-4DF4-85C8-90DEBE866140}">
  <sheetPr codeName="Sheet4">
    <tabColor rgb="FF00B0F0"/>
  </sheetPr>
  <dimension ref="B1:V18"/>
  <sheetViews>
    <sheetView zoomScaleNormal="100" workbookViewId="0">
      <selection activeCell="D5" sqref="D5"/>
    </sheetView>
  </sheetViews>
  <sheetFormatPr defaultColWidth="8.88671875" defaultRowHeight="13.2" x14ac:dyDescent="0.25"/>
  <cols>
    <col min="1" max="1" width="2.6640625" style="5" customWidth="1"/>
    <col min="2" max="2" width="6.88671875" style="5" customWidth="1"/>
    <col min="3" max="3" width="19.109375" style="5" customWidth="1"/>
    <col min="4" max="4" width="12.33203125" style="5" bestFit="1" customWidth="1"/>
    <col min="5" max="5" width="6.6640625" style="5" customWidth="1"/>
    <col min="6" max="6" width="4" style="5" hidden="1" customWidth="1"/>
    <col min="7" max="7" width="12.33203125" style="5" bestFit="1" customWidth="1"/>
    <col min="8" max="8" width="11.88671875" style="5" customWidth="1"/>
    <col min="9" max="9" width="4" style="5" hidden="1" customWidth="1"/>
    <col min="10" max="10" width="6.6640625" style="5" bestFit="1" customWidth="1"/>
    <col min="11" max="11" width="6" style="5" bestFit="1" customWidth="1"/>
    <col min="12" max="12" width="7.33203125" style="5" bestFit="1" customWidth="1"/>
    <col min="13" max="13" width="8" style="5" bestFit="1" customWidth="1"/>
    <col min="14" max="14" width="8.88671875" style="5"/>
    <col min="15" max="15" width="9" style="5" bestFit="1" customWidth="1"/>
    <col min="16" max="16" width="9.5546875" style="5" bestFit="1" customWidth="1"/>
    <col min="17" max="17" width="9.5546875" style="5" hidden="1" customWidth="1"/>
    <col min="18" max="20" width="0" style="5" hidden="1" customWidth="1"/>
    <col min="21" max="16384" width="8.88671875" style="5"/>
  </cols>
  <sheetData>
    <row r="1" spans="2:22" ht="10.199999999999999" customHeight="1" thickBot="1" x14ac:dyDescent="0.3">
      <c r="B1" s="4"/>
      <c r="C1" s="4"/>
      <c r="D1" s="4"/>
      <c r="E1" s="4"/>
      <c r="F1" s="4"/>
      <c r="G1" s="4"/>
      <c r="H1" s="4"/>
      <c r="I1" s="4"/>
      <c r="J1" s="4"/>
      <c r="K1" s="4"/>
      <c r="L1" s="4"/>
      <c r="M1" s="4"/>
    </row>
    <row r="2" spans="2:22" ht="32.4" customHeight="1" x14ac:dyDescent="0.25">
      <c r="B2" s="177" t="s">
        <v>15</v>
      </c>
      <c r="C2" s="178"/>
      <c r="D2" s="178"/>
      <c r="E2" s="178"/>
      <c r="F2" s="178"/>
      <c r="G2" s="178"/>
      <c r="H2" s="178"/>
      <c r="I2" s="178"/>
      <c r="J2" s="178"/>
      <c r="K2" s="178"/>
      <c r="L2" s="178"/>
      <c r="M2" s="179"/>
    </row>
    <row r="3" spans="2:22" ht="18" thickBot="1" x14ac:dyDescent="0.3">
      <c r="B3" s="180" t="s">
        <v>16</v>
      </c>
      <c r="C3" s="181"/>
      <c r="D3" s="181"/>
      <c r="E3" s="181"/>
      <c r="F3" s="181"/>
      <c r="G3" s="181"/>
      <c r="H3" s="181"/>
      <c r="I3" s="181"/>
      <c r="J3" s="181"/>
      <c r="K3" s="181"/>
      <c r="L3" s="181"/>
      <c r="M3" s="182"/>
    </row>
    <row r="4" spans="2:22" ht="9" customHeight="1" thickBot="1" x14ac:dyDescent="0.3">
      <c r="B4" s="4"/>
      <c r="C4" s="4"/>
      <c r="D4" s="4"/>
      <c r="E4" s="4"/>
      <c r="F4" s="4"/>
      <c r="G4" s="4"/>
      <c r="H4" s="4"/>
      <c r="I4" s="4"/>
      <c r="J4" s="4"/>
      <c r="K4" s="4"/>
      <c r="L4" s="4"/>
      <c r="M4" s="4"/>
    </row>
    <row r="5" spans="2:22" ht="13.8" thickBot="1" x14ac:dyDescent="0.3">
      <c r="B5" s="183" t="s">
        <v>17</v>
      </c>
      <c r="C5" s="184"/>
      <c r="D5" s="6">
        <f>'Maternal lines'!C7</f>
        <v>3230</v>
      </c>
      <c r="E5" s="7"/>
      <c r="F5" s="7"/>
      <c r="G5" s="7"/>
      <c r="H5" s="7"/>
      <c r="I5" s="7"/>
      <c r="J5" s="7"/>
      <c r="K5" s="7"/>
      <c r="L5" s="7"/>
      <c r="M5" s="7"/>
    </row>
    <row r="6" spans="2:22" ht="36" customHeight="1" thickBot="1" x14ac:dyDescent="0.3">
      <c r="B6" s="4"/>
      <c r="C6" s="4"/>
      <c r="D6" s="4"/>
      <c r="E6" s="4"/>
      <c r="F6" s="4"/>
      <c r="G6" s="4"/>
      <c r="H6" s="4"/>
      <c r="I6" s="4"/>
      <c r="J6" s="185" t="s">
        <v>18</v>
      </c>
      <c r="K6" s="186"/>
      <c r="L6" s="187" t="s">
        <v>19</v>
      </c>
      <c r="M6" s="187"/>
    </row>
    <row r="7" spans="2:22" ht="44.4" customHeight="1" x14ac:dyDescent="0.25">
      <c r="B7" s="9" t="s">
        <v>20</v>
      </c>
      <c r="C7" s="10" t="s">
        <v>21</v>
      </c>
      <c r="D7" s="11" t="s">
        <v>22</v>
      </c>
      <c r="E7" s="11" t="s">
        <v>23</v>
      </c>
      <c r="F7" s="12"/>
      <c r="G7" s="11" t="s">
        <v>24</v>
      </c>
      <c r="H7" s="12" t="s">
        <v>25</v>
      </c>
      <c r="I7" s="12"/>
      <c r="J7" s="13" t="s">
        <v>26</v>
      </c>
      <c r="K7" s="13" t="s">
        <v>27</v>
      </c>
      <c r="L7" s="13" t="s">
        <v>26</v>
      </c>
      <c r="M7" s="13" t="s">
        <v>27</v>
      </c>
    </row>
    <row r="8" spans="2:22" x14ac:dyDescent="0.25">
      <c r="B8" s="14" t="s">
        <v>28</v>
      </c>
      <c r="C8" s="15">
        <v>0.35</v>
      </c>
      <c r="D8" s="16">
        <f>'Terminal lines'!C43</f>
        <v>170</v>
      </c>
      <c r="E8" s="17">
        <f>((0.5357*($T8^2))-(8.8929*$T8)+35.857)</f>
        <v>27.4998</v>
      </c>
      <c r="F8" s="17">
        <f t="shared" ref="F8:F14" si="0">$D$15</f>
        <v>195.42759599999999</v>
      </c>
      <c r="G8" s="16">
        <f>D8</f>
        <v>170</v>
      </c>
      <c r="H8" s="17">
        <f t="shared" ref="H8:H14" si="1">IF($G$8&gt;150,((0.4286*($T8^2))-(8.1143*$T8)+33.4),((0.5357*($T8^2))-(8.8929*$T8)+35.857))</f>
        <v>25.714299999999998</v>
      </c>
      <c r="I8" s="17">
        <f t="shared" ref="I8:I14" si="2">$G$15</f>
        <v>193.74948899999998</v>
      </c>
      <c r="J8" s="17">
        <f>100*D8^0.75</f>
        <v>4708.0025677232816</v>
      </c>
      <c r="K8" s="17">
        <f>100*G8^0.75</f>
        <v>4708.0025677232816</v>
      </c>
      <c r="L8" s="28">
        <f>'Maternal lines'!$D$14/(J8/$D$5)</f>
        <v>1.2531853827881727</v>
      </c>
      <c r="M8" s="28">
        <f>'Maternal lines'!$D$14/(K8/$D$5)</f>
        <v>1.2531853827881727</v>
      </c>
      <c r="T8" s="5">
        <v>1</v>
      </c>
    </row>
    <row r="9" spans="2:22" x14ac:dyDescent="0.25">
      <c r="B9" s="14" t="s">
        <v>29</v>
      </c>
      <c r="C9" s="15">
        <v>0.35</v>
      </c>
      <c r="D9" s="17">
        <f t="shared" ref="D9:D14" si="3">D8+E8</f>
        <v>197.49979999999999</v>
      </c>
      <c r="E9" s="17">
        <f>(0.5357*($T9^2))-(8.8929*$T9)+35.857</f>
        <v>20.213999999999999</v>
      </c>
      <c r="F9" s="17">
        <f t="shared" si="0"/>
        <v>195.42759599999999</v>
      </c>
      <c r="G9" s="17">
        <f>(G8+H8)</f>
        <v>195.71430000000001</v>
      </c>
      <c r="H9" s="17">
        <f t="shared" si="1"/>
        <v>18.885799999999996</v>
      </c>
      <c r="I9" s="17">
        <f t="shared" si="2"/>
        <v>193.74948899999998</v>
      </c>
      <c r="J9" s="17">
        <f t="shared" ref="J9:J14" si="4">100*D9^0.75</f>
        <v>5268.3545582704674</v>
      </c>
      <c r="K9" s="17">
        <f t="shared" ref="K9:K14" si="5">100*G9^0.75</f>
        <v>5232.5925571381158</v>
      </c>
      <c r="L9" s="28">
        <f>'Maternal lines'!$D$14/(J9/$D$5)</f>
        <v>1.1198942544096528</v>
      </c>
      <c r="M9" s="28">
        <f>'Maternal lines'!$D$15/(K9/$D$5)</f>
        <v>0.93643828494072134</v>
      </c>
      <c r="O9" s="93">
        <f>C9/(SUM($C$9:$C$14))</f>
        <v>0.53846153846153844</v>
      </c>
      <c r="P9" s="8"/>
      <c r="T9" s="5">
        <v>2</v>
      </c>
      <c r="V9" s="18"/>
    </row>
    <row r="10" spans="2:22" x14ac:dyDescent="0.25">
      <c r="B10" s="14" t="s">
        <v>30</v>
      </c>
      <c r="C10" s="15">
        <v>0.2</v>
      </c>
      <c r="D10" s="17">
        <f t="shared" si="3"/>
        <v>217.71379999999999</v>
      </c>
      <c r="E10" s="17">
        <f t="shared" ref="E10:E14" si="6">(0.5357*($T10^2))-(8.8929*$T10)+35.857</f>
        <v>13.999600000000001</v>
      </c>
      <c r="F10" s="17">
        <f t="shared" si="0"/>
        <v>195.42759599999999</v>
      </c>
      <c r="G10" s="17">
        <f t="shared" ref="G10:G14" si="7">(G9+H9)</f>
        <v>214.6001</v>
      </c>
      <c r="H10" s="17">
        <f t="shared" si="1"/>
        <v>12.914499999999997</v>
      </c>
      <c r="I10" s="17">
        <f t="shared" si="2"/>
        <v>193.74948899999998</v>
      </c>
      <c r="J10" s="17">
        <f t="shared" si="4"/>
        <v>5667.7993696184058</v>
      </c>
      <c r="K10" s="17">
        <f t="shared" si="5"/>
        <v>5606.8952173586313</v>
      </c>
      <c r="L10" s="28">
        <f>'Maternal lines'!$D$14/(J10/$D$5)</f>
        <v>1.0409683927109841</v>
      </c>
      <c r="M10" s="28">
        <f>'Maternal lines'!$D$15/(K10/$D$5)</f>
        <v>0.87392394721946598</v>
      </c>
      <c r="O10" s="93">
        <f t="shared" ref="O10:O14" si="8">C10/(SUM($C$9:$C$14))</f>
        <v>0.30769230769230771</v>
      </c>
      <c r="T10" s="5">
        <v>3</v>
      </c>
    </row>
    <row r="11" spans="2:22" x14ac:dyDescent="0.25">
      <c r="B11" s="14" t="s">
        <v>31</v>
      </c>
      <c r="C11" s="15">
        <v>0.09</v>
      </c>
      <c r="D11" s="17">
        <f t="shared" si="3"/>
        <v>231.71339999999998</v>
      </c>
      <c r="E11" s="17">
        <f t="shared" si="6"/>
        <v>8.8566000000000003</v>
      </c>
      <c r="F11" s="17">
        <f t="shared" si="0"/>
        <v>195.42759599999999</v>
      </c>
      <c r="G11" s="17">
        <f t="shared" si="7"/>
        <v>227.5146</v>
      </c>
      <c r="H11" s="17">
        <f t="shared" si="1"/>
        <v>7.8003999999999962</v>
      </c>
      <c r="I11" s="17">
        <f t="shared" si="2"/>
        <v>193.74948899999998</v>
      </c>
      <c r="J11" s="17">
        <f t="shared" si="4"/>
        <v>5939.0005068979053</v>
      </c>
      <c r="K11" s="17">
        <f t="shared" si="5"/>
        <v>5858.102326782313</v>
      </c>
      <c r="L11" s="28">
        <f>'Maternal lines'!$D$14/(J11/$D$5)</f>
        <v>0.99343315312861025</v>
      </c>
      <c r="M11" s="28">
        <f>'Maternal lines'!$D$15/(K11/$D$5)</f>
        <v>0.83644834566954884</v>
      </c>
      <c r="O11" s="93">
        <f t="shared" si="8"/>
        <v>0.13846153846153844</v>
      </c>
      <c r="T11" s="5">
        <v>4</v>
      </c>
    </row>
    <row r="12" spans="2:22" x14ac:dyDescent="0.25">
      <c r="B12" s="14" t="s">
        <v>32</v>
      </c>
      <c r="C12" s="15">
        <v>0.01</v>
      </c>
      <c r="D12" s="17">
        <f t="shared" si="3"/>
        <v>240.57</v>
      </c>
      <c r="E12" s="17">
        <f t="shared" si="6"/>
        <v>4.7850000000000037</v>
      </c>
      <c r="F12" s="17">
        <f t="shared" si="0"/>
        <v>195.42759599999999</v>
      </c>
      <c r="G12" s="17">
        <f t="shared" si="7"/>
        <v>235.315</v>
      </c>
      <c r="H12" s="17">
        <f t="shared" si="1"/>
        <v>3.5434999999999981</v>
      </c>
      <c r="I12" s="17">
        <f t="shared" si="2"/>
        <v>193.74948899999998</v>
      </c>
      <c r="J12" s="17">
        <f t="shared" si="4"/>
        <v>6108.4510940742284</v>
      </c>
      <c r="K12" s="17">
        <f t="shared" si="5"/>
        <v>6008.1007797879001</v>
      </c>
      <c r="L12" s="28">
        <f>'Maternal lines'!$D$14/(J12/$D$5)</f>
        <v>0.9658749671784318</v>
      </c>
      <c r="M12" s="28">
        <f>'Maternal lines'!$D$15/(K12/$D$5)</f>
        <v>0.81556554718327845</v>
      </c>
      <c r="O12" s="93">
        <f t="shared" si="8"/>
        <v>1.5384615384615384E-2</v>
      </c>
      <c r="T12" s="5">
        <v>5</v>
      </c>
    </row>
    <row r="13" spans="2:22" x14ac:dyDescent="0.25">
      <c r="B13" s="14" t="s">
        <v>33</v>
      </c>
      <c r="C13" s="15">
        <v>0</v>
      </c>
      <c r="D13" s="17">
        <f t="shared" si="3"/>
        <v>245.35499999999999</v>
      </c>
      <c r="E13" s="17">
        <f t="shared" si="6"/>
        <v>1.7848000000000042</v>
      </c>
      <c r="F13" s="17">
        <f t="shared" si="0"/>
        <v>195.42759599999999</v>
      </c>
      <c r="G13" s="17">
        <f t="shared" si="7"/>
        <v>238.85849999999999</v>
      </c>
      <c r="H13" s="17">
        <f t="shared" si="1"/>
        <v>0.14379999999999882</v>
      </c>
      <c r="I13" s="17">
        <f t="shared" si="2"/>
        <v>193.74948899999998</v>
      </c>
      <c r="J13" s="17">
        <f t="shared" si="4"/>
        <v>6199.3504041635124</v>
      </c>
      <c r="K13" s="17">
        <f t="shared" si="5"/>
        <v>6075.8287629057568</v>
      </c>
      <c r="L13" s="28">
        <f>'Maternal lines'!$D$14/(J13/$D$5)</f>
        <v>0.9517126175086883</v>
      </c>
      <c r="M13" s="28">
        <f>'Maternal lines'!$D$15/(K13/$D$5)</f>
        <v>0.8064743413961164</v>
      </c>
      <c r="O13" s="93">
        <f t="shared" si="8"/>
        <v>0</v>
      </c>
      <c r="T13" s="5">
        <v>6</v>
      </c>
    </row>
    <row r="14" spans="2:22" ht="13.8" thickBot="1" x14ac:dyDescent="0.3">
      <c r="B14" s="19" t="s">
        <v>34</v>
      </c>
      <c r="C14" s="20">
        <v>0</v>
      </c>
      <c r="D14" s="21">
        <f t="shared" si="3"/>
        <v>247.13979999999998</v>
      </c>
      <c r="E14" s="21">
        <f t="shared" si="6"/>
        <v>-0.14399999999999835</v>
      </c>
      <c r="F14" s="21">
        <f t="shared" si="0"/>
        <v>195.42759599999999</v>
      </c>
      <c r="G14" s="21">
        <f t="shared" si="7"/>
        <v>239.00229999999999</v>
      </c>
      <c r="H14" s="21">
        <f t="shared" si="1"/>
        <v>-2.3986999999999981</v>
      </c>
      <c r="I14" s="21">
        <f t="shared" si="2"/>
        <v>193.74948899999998</v>
      </c>
      <c r="J14" s="17">
        <f t="shared" si="4"/>
        <v>6233.1419612619602</v>
      </c>
      <c r="K14" s="17">
        <f t="shared" si="5"/>
        <v>6078.571930229934</v>
      </c>
      <c r="L14" s="28">
        <f>'Maternal lines'!$D$14/(J14/$D$5)</f>
        <v>0.94655312467895214</v>
      </c>
      <c r="M14" s="28">
        <f>'Maternal lines'!$D$15/(K14/$D$5)</f>
        <v>0.80611039175687582</v>
      </c>
      <c r="O14" s="93">
        <f t="shared" si="8"/>
        <v>0</v>
      </c>
      <c r="T14" s="5">
        <v>7</v>
      </c>
    </row>
    <row r="15" spans="2:22" ht="13.8" thickBot="1" x14ac:dyDescent="0.3">
      <c r="B15" s="22"/>
      <c r="C15" s="23" t="s">
        <v>35</v>
      </c>
      <c r="D15" s="24">
        <f>SUMPRODUCT($C$8:$C$14,D8:D14)</f>
        <v>195.42759599999999</v>
      </c>
      <c r="E15" s="24">
        <f>SUMPRODUCT($C$8:$C$14,E8:E14)</f>
        <v>20.344694</v>
      </c>
      <c r="F15" s="25"/>
      <c r="G15" s="24">
        <f>SUMPRODUCT($C$8:$C$14,G8:G14)</f>
        <v>193.74948899999998</v>
      </c>
      <c r="H15" s="24">
        <f>SUMPRODUCT($C$8:$C$14,H8:H14)</f>
        <v>18.930405999999994</v>
      </c>
      <c r="I15" s="25"/>
      <c r="J15" s="25"/>
      <c r="K15" s="25"/>
      <c r="L15" s="29">
        <f>SUMPRODUCT($C$8:$C$14,L8:L14)</f>
        <v>1.1378392850147951</v>
      </c>
      <c r="M15" s="30">
        <f>SUMPRODUCT($C$9:$C$14,M9:M14)/(100%-C8)</f>
        <v>0.901498762700366</v>
      </c>
      <c r="Q15" s="8">
        <f>21*Q17</f>
        <v>52.749294611520199</v>
      </c>
      <c r="R15" s="8">
        <f>365-Q15</f>
        <v>312.25070538847979</v>
      </c>
      <c r="S15" s="8">
        <f>SUM(Q15:R15)</f>
        <v>365</v>
      </c>
    </row>
    <row r="16" spans="2:22" ht="10.95" customHeight="1" x14ac:dyDescent="0.3">
      <c r="G16" s="8"/>
      <c r="H16" s="8"/>
      <c r="Q16" s="26">
        <f>Q15/$S$15</f>
        <v>0.14451861537402794</v>
      </c>
      <c r="R16" s="26">
        <f>R15/$S$15</f>
        <v>0.85548138462597201</v>
      </c>
      <c r="S16" s="8"/>
    </row>
    <row r="17" spans="7:17" x14ac:dyDescent="0.25">
      <c r="G17" s="8"/>
      <c r="H17" s="8"/>
      <c r="Q17" s="27">
        <f>365/(((21+115+7)*0.89)+(((21+21+115+7)*0.11)))</f>
        <v>2.5118711719771523</v>
      </c>
    </row>
    <row r="18" spans="7:17" x14ac:dyDescent="0.25">
      <c r="G18" s="8"/>
      <c r="H18" s="8"/>
      <c r="M18" s="8"/>
    </row>
  </sheetData>
  <mergeCells count="5">
    <mergeCell ref="B2:M2"/>
    <mergeCell ref="B3:M3"/>
    <mergeCell ref="B5:C5"/>
    <mergeCell ref="J6:K6"/>
    <mergeCell ref="L6:M6"/>
  </mergeCells>
  <dataValidations count="2">
    <dataValidation type="whole" operator="greaterThanOrEqual" allowBlank="1" showInputMessage="1" showErrorMessage="1" errorTitle="FAT" error="Please considere &gt;150kg" promptTitle="FAT GILTS" prompt="Fat gilts are considered over than 150kg" sqref="G8" xr:uid="{802D6465-1AAA-4E95-A484-504F01C68E43}">
      <formula1>150</formula1>
    </dataValidation>
    <dataValidation type="decimal" allowBlank="1" showInputMessage="1" showErrorMessage="1" errorTitle="Normal" error="&gt;135 kg_x000a_&lt;150 kg" promptTitle="Normal Gilts" prompt="Normal &gt;135 to 150kg" sqref="D8" xr:uid="{D4B5CB81-E97A-4725-8700-7A04796C12B0}">
      <formula1>135</formula1>
      <formula2>200</formula2>
    </dataValidation>
  </dataValidations>
  <pageMargins left="0.78740157499999996" right="0.78740157499999996" top="0.984251969" bottom="0.984251969" header="0.49212598499999999" footer="0.49212598499999999"/>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5DBE-F86D-491F-892B-31004A97A0F8}">
  <sheetPr codeName="Sheet5">
    <tabColor theme="0"/>
  </sheetPr>
  <dimension ref="A2:AJ59"/>
  <sheetViews>
    <sheetView showGridLines="0" workbookViewId="0">
      <selection activeCell="B10" sqref="B10"/>
    </sheetView>
  </sheetViews>
  <sheetFormatPr defaultColWidth="9.109375" defaultRowHeight="14.4" x14ac:dyDescent="0.3"/>
  <cols>
    <col min="1" max="1" width="18.109375" style="32" bestFit="1" customWidth="1"/>
    <col min="2" max="2" width="9.109375" style="32"/>
    <col min="3" max="3" width="2.109375" style="32" customWidth="1"/>
    <col min="4" max="10" width="14" style="32" customWidth="1"/>
    <col min="11" max="11" width="2.88671875" style="32" customWidth="1"/>
    <col min="12" max="15" width="14" style="32" customWidth="1"/>
    <col min="16" max="16" width="2.88671875" style="32" customWidth="1"/>
    <col min="17" max="20" width="14" style="32" customWidth="1"/>
    <col min="21" max="21" width="2.88671875" style="32" customWidth="1"/>
    <col min="22" max="27" width="12" style="32" customWidth="1"/>
    <col min="28" max="28" width="9.109375" style="32" customWidth="1"/>
    <col min="29" max="29" width="8" style="32" bestFit="1" customWidth="1"/>
    <col min="30" max="30" width="11.6640625" style="32" bestFit="1" customWidth="1"/>
    <col min="31" max="31" width="14.33203125" style="32" customWidth="1"/>
    <col min="32" max="32" width="3.6640625" customWidth="1"/>
    <col min="33" max="33" width="11.88671875" style="32" customWidth="1"/>
    <col min="34" max="34" width="15.33203125" style="32" bestFit="1" customWidth="1"/>
    <col min="35" max="35" width="21.109375" style="32" bestFit="1" customWidth="1"/>
    <col min="36" max="36" width="6.6640625" style="32" bestFit="1" customWidth="1"/>
    <col min="37" max="16384" width="9.109375" style="32"/>
  </cols>
  <sheetData>
    <row r="2" spans="1:36" ht="15" thickBot="1" x14ac:dyDescent="0.35">
      <c r="M2" s="35"/>
    </row>
    <row r="3" spans="1:36" ht="15" thickBot="1" x14ac:dyDescent="0.35">
      <c r="AB3" s="169" t="s">
        <v>62</v>
      </c>
      <c r="AC3" s="170"/>
      <c r="AD3" s="170"/>
      <c r="AE3" s="171"/>
      <c r="AF3" s="32"/>
      <c r="AG3" s="37" t="s">
        <v>61</v>
      </c>
      <c r="AH3" s="38"/>
      <c r="AI3" s="39"/>
      <c r="AJ3" s="40"/>
    </row>
    <row r="4" spans="1:36" x14ac:dyDescent="0.3">
      <c r="A4" s="66"/>
      <c r="B4" s="67">
        <f>B8/B9</f>
        <v>0.99710685318194781</v>
      </c>
      <c r="D4" s="115" t="s">
        <v>55</v>
      </c>
      <c r="E4" s="57"/>
      <c r="F4" s="57"/>
      <c r="G4" s="39"/>
      <c r="H4" s="39"/>
      <c r="I4" s="39"/>
      <c r="J4" s="40"/>
      <c r="L4" s="169" t="s">
        <v>62</v>
      </c>
      <c r="M4" s="170"/>
      <c r="N4" s="170"/>
      <c r="O4" s="171"/>
      <c r="Q4" s="172" t="s">
        <v>61</v>
      </c>
      <c r="R4" s="173"/>
      <c r="S4" s="173"/>
      <c r="T4" s="174"/>
      <c r="AB4" s="41" t="s">
        <v>68</v>
      </c>
      <c r="AC4" s="42" t="s">
        <v>71</v>
      </c>
      <c r="AD4" s="42" t="s">
        <v>69</v>
      </c>
      <c r="AE4" s="60" t="s">
        <v>70</v>
      </c>
      <c r="AF4" s="32"/>
      <c r="AG4" s="41" t="s">
        <v>77</v>
      </c>
      <c r="AH4" s="42" t="s">
        <v>76</v>
      </c>
      <c r="AI4" s="43" t="s">
        <v>38</v>
      </c>
      <c r="AJ4" s="44" t="s">
        <v>37</v>
      </c>
    </row>
    <row r="5" spans="1:36" x14ac:dyDescent="0.3">
      <c r="A5" s="159" t="str">
        <f>'Terminal lines'!B6</f>
        <v>Dietary NE, MJ/kg using high fiber  (&gt;12% NDF)</v>
      </c>
      <c r="B5" s="68">
        <f>'Terminal lines'!C6</f>
        <v>10.29</v>
      </c>
      <c r="D5" s="58"/>
      <c r="E5" s="59"/>
      <c r="F5" s="175" t="s">
        <v>103</v>
      </c>
      <c r="G5" s="175"/>
      <c r="H5" s="175" t="s">
        <v>73</v>
      </c>
      <c r="I5" s="175"/>
      <c r="J5" s="60"/>
      <c r="L5" s="61" t="s">
        <v>66</v>
      </c>
      <c r="M5" s="158" t="s">
        <v>58</v>
      </c>
      <c r="N5" s="158" t="s">
        <v>67</v>
      </c>
      <c r="O5" s="79" t="s">
        <v>58</v>
      </c>
      <c r="Q5" s="61" t="s">
        <v>64</v>
      </c>
      <c r="R5" s="81" t="s">
        <v>65</v>
      </c>
      <c r="S5" s="43" t="s">
        <v>12</v>
      </c>
      <c r="T5" s="44" t="s">
        <v>59</v>
      </c>
      <c r="V5" s="176" t="s">
        <v>104</v>
      </c>
      <c r="W5" s="176"/>
      <c r="X5" s="176" t="s">
        <v>109</v>
      </c>
      <c r="Y5" s="176"/>
      <c r="AB5" s="72">
        <f t="shared" ref="AB5:AB36" si="0">CONVERT(L6,"kg","lbm")</f>
        <v>299.62701878628434</v>
      </c>
      <c r="AC5" s="152">
        <f t="shared" ref="AC5:AC36" si="1">CONVERT(M6,"cm","in")</f>
        <v>35.15748031496063</v>
      </c>
      <c r="AD5" s="73">
        <f t="shared" ref="AD5:AD36" si="2">CONVERT(N6,"kg","lbm")</f>
        <v>299.62701878628434</v>
      </c>
      <c r="AE5" s="154">
        <f t="shared" ref="AE5:AE36" si="3">CONVERT(O6,"cm","in")</f>
        <v>35.15748031496063</v>
      </c>
      <c r="AF5" s="32"/>
      <c r="AG5" s="45" t="s">
        <v>78</v>
      </c>
      <c r="AH5" s="43" t="s">
        <v>63</v>
      </c>
      <c r="AI5" s="46" t="s">
        <v>56</v>
      </c>
      <c r="AJ5" s="47">
        <f t="shared" ref="AJ5:AJ12" si="4">CONVERT(T6,"kg","lbm")</f>
        <v>3.2840650561300664</v>
      </c>
    </row>
    <row r="6" spans="1:36" x14ac:dyDescent="0.3">
      <c r="A6" s="41" t="s">
        <v>101</v>
      </c>
      <c r="B6" s="68">
        <f>'Terminal lines'!D14</f>
        <v>1.4853171428571432</v>
      </c>
      <c r="D6" s="61" t="s">
        <v>60</v>
      </c>
      <c r="E6" s="158" t="s">
        <v>72</v>
      </c>
      <c r="F6" s="158" t="s">
        <v>53</v>
      </c>
      <c r="G6" s="158" t="s">
        <v>52</v>
      </c>
      <c r="H6" s="158" t="s">
        <v>53</v>
      </c>
      <c r="I6" s="158" t="s">
        <v>52</v>
      </c>
      <c r="J6" s="79" t="s">
        <v>54</v>
      </c>
      <c r="L6" s="72">
        <f>((M6*0.0507) + 0.6139)^3</f>
        <v>135.90852956730524</v>
      </c>
      <c r="M6" s="158">
        <v>89.3</v>
      </c>
      <c r="N6" s="73">
        <f>((O6*0.0507) + 0.6139)^3</f>
        <v>135.90852956730524</v>
      </c>
      <c r="O6" s="44">
        <f>M6</f>
        <v>89.3</v>
      </c>
      <c r="Q6" s="45" t="s">
        <v>74</v>
      </c>
      <c r="R6" s="43" t="s">
        <v>75</v>
      </c>
      <c r="S6" s="43" t="s">
        <v>57</v>
      </c>
      <c r="T6" s="54">
        <f>VLOOKUP(FFS!B7,FFS!$F$7:$I$30,3)</f>
        <v>1.48962685204422</v>
      </c>
      <c r="AB6" s="72">
        <f t="shared" si="0"/>
        <v>304.08088847650538</v>
      </c>
      <c r="AC6" s="152">
        <f t="shared" si="1"/>
        <v>35.354330708661422</v>
      </c>
      <c r="AD6" s="73">
        <f t="shared" si="2"/>
        <v>304.08088847650538</v>
      </c>
      <c r="AE6" s="154">
        <f t="shared" si="3"/>
        <v>35.354330708661422</v>
      </c>
      <c r="AF6" s="32"/>
      <c r="AG6" s="48">
        <f>VLOOKUP(AI6,$AB$5:AC57,2,TRUE)</f>
        <v>39.29133858267717</v>
      </c>
      <c r="AH6" s="49">
        <f>VLOOKUP(AI6,$AD$5:$AE$57,2,TRUE)</f>
        <v>39.29133858267717</v>
      </c>
      <c r="AI6" s="46">
        <f t="shared" ref="AI6:AI12" si="5">CONVERT(S7,"kg","lbm")</f>
        <v>407.85518504202349</v>
      </c>
      <c r="AJ6" s="47">
        <f t="shared" si="4"/>
        <v>3.3522482229220016</v>
      </c>
    </row>
    <row r="7" spans="1:36" x14ac:dyDescent="0.3">
      <c r="A7" s="41" t="s">
        <v>102</v>
      </c>
      <c r="B7" s="69">
        <v>180</v>
      </c>
      <c r="D7" s="62">
        <f>((0.1*F7^0.75))</f>
        <v>3.9605028155702722</v>
      </c>
      <c r="E7" s="63">
        <f>D7/$B$10</f>
        <v>1.2005311686327567</v>
      </c>
      <c r="F7" s="43">
        <v>135</v>
      </c>
      <c r="G7" s="46">
        <f t="shared" ref="G7:G30" si="6">F7*2.204622</f>
        <v>297.62396999999999</v>
      </c>
      <c r="H7" s="63">
        <f>IF('Terminal lines'!$D$14&gt;E7,'Terminal lines'!$D$14,E7)</f>
        <v>1.4853171428571432</v>
      </c>
      <c r="I7" s="49">
        <f t="shared" ref="I7:I30" si="7">CONVERT(H7,"kg","lbm")</f>
        <v>3.2745637737626474</v>
      </c>
      <c r="J7" s="116">
        <f>($B$10*H7)/((0.1*F7^0.75))</f>
        <v>1.2372166434868321</v>
      </c>
      <c r="L7" s="72">
        <f t="shared" ref="L7:N58" si="8">((M7*0.0507) + 0.6139)^3</f>
        <v>137.92877087576377</v>
      </c>
      <c r="M7" s="158">
        <f>M6+0.5</f>
        <v>89.8</v>
      </c>
      <c r="N7" s="73">
        <f t="shared" si="8"/>
        <v>137.92877087576377</v>
      </c>
      <c r="O7" s="79">
        <f>O6+0.5</f>
        <v>89.8</v>
      </c>
      <c r="Q7" s="48">
        <f t="shared" ref="Q7:Q13" si="9">VLOOKUP(S7,$L$6:$M$58,2,TRUE)</f>
        <v>99.8</v>
      </c>
      <c r="R7" s="49">
        <f t="shared" ref="R7:R13" si="10">VLOOKUP(S7,$N$6:$O$58,2,TRUE)</f>
        <v>99.8</v>
      </c>
      <c r="S7" s="43">
        <v>185</v>
      </c>
      <c r="T7" s="54">
        <f>VLOOKUP(S7,FFS!$F$7:$I$30,3)</f>
        <v>1.5205542162634791</v>
      </c>
      <c r="V7" s="119">
        <f t="shared" ref="V7:W9" si="11">(X7^(1/3)-0.6139)/0.0507</f>
        <v>89.073527416767078</v>
      </c>
      <c r="W7" s="119">
        <f t="shared" si="11"/>
        <v>98.215872000137765</v>
      </c>
      <c r="X7" s="36">
        <v>135</v>
      </c>
      <c r="Y7" s="36">
        <v>175</v>
      </c>
      <c r="Z7" s="119">
        <f>IF($B$10&gt;3.5,(100*(Y7^0.75))/($B$10*1000),(100*(Y7^0.75))/($B$10*1000))</f>
        <v>1.4584839356925501</v>
      </c>
      <c r="AB7" s="72">
        <f t="shared" si="0"/>
        <v>308.57867790322615</v>
      </c>
      <c r="AC7" s="152">
        <f t="shared" si="1"/>
        <v>35.551181102362207</v>
      </c>
      <c r="AD7" s="73">
        <f t="shared" si="2"/>
        <v>308.57867790322615</v>
      </c>
      <c r="AE7" s="154">
        <f t="shared" si="3"/>
        <v>35.551181102362207</v>
      </c>
      <c r="AF7" s="32"/>
      <c r="AG7" s="48">
        <f>VLOOKUP(AI7,$AB$5:AC58,2,TRUE)</f>
        <v>40.078740157480318</v>
      </c>
      <c r="AH7" s="49">
        <f t="shared" ref="AH7:AH12" si="12">VLOOKUP(AI7,$AD$5:$AE$57,2,TRUE)</f>
        <v>40.078740157480318</v>
      </c>
      <c r="AI7" s="46">
        <f t="shared" si="5"/>
        <v>429.90141126051128</v>
      </c>
      <c r="AJ7" s="47">
        <f t="shared" si="4"/>
        <v>3.4872519953573731</v>
      </c>
    </row>
    <row r="8" spans="1:36" x14ac:dyDescent="0.3">
      <c r="A8" s="41" t="s">
        <v>51</v>
      </c>
      <c r="B8" s="68">
        <f>B6*B10</f>
        <v>4.9000000000000004</v>
      </c>
      <c r="D8" s="62">
        <f t="shared" ref="D8:D30" si="13">((0.1*F8^0.75))</f>
        <v>4.0700151587775339</v>
      </c>
      <c r="E8" s="63">
        <f t="shared" ref="E8:E30" si="14">D8/$B$10</f>
        <v>1.2337272014327976</v>
      </c>
      <c r="F8" s="43">
        <v>140</v>
      </c>
      <c r="G8" s="46">
        <f t="shared" si="6"/>
        <v>308.64708000000002</v>
      </c>
      <c r="H8" s="63">
        <f>IF('Terminal lines'!$D$14&gt;E8,'Terminal lines'!$D$14,E8)</f>
        <v>1.4853171428571432</v>
      </c>
      <c r="I8" s="49">
        <f t="shared" si="7"/>
        <v>3.2745637737626474</v>
      </c>
      <c r="J8" s="116">
        <f t="shared" ref="J8:J30" si="15">($B$10*H8)/((0.1*F8^0.75))</f>
        <v>1.203926719887638</v>
      </c>
      <c r="L8" s="72">
        <f t="shared" si="8"/>
        <v>139.96893384159097</v>
      </c>
      <c r="M8" s="158">
        <v>90.3</v>
      </c>
      <c r="N8" s="73">
        <f t="shared" si="8"/>
        <v>139.96893384159097</v>
      </c>
      <c r="O8" s="79">
        <f>O7+0.5</f>
        <v>90.3</v>
      </c>
      <c r="Q8" s="48">
        <f t="shared" si="9"/>
        <v>101.8</v>
      </c>
      <c r="R8" s="49">
        <f t="shared" si="10"/>
        <v>101.8</v>
      </c>
      <c r="S8" s="43">
        <v>195</v>
      </c>
      <c r="T8" s="54">
        <f>VLOOKUP(S8,FFS!$F$7:$I$30,3)</f>
        <v>1.5817908973613799</v>
      </c>
      <c r="V8" s="119">
        <f t="shared" si="11"/>
        <v>98.509289215076549</v>
      </c>
      <c r="W8" s="119">
        <f t="shared" si="11"/>
        <v>103.19892467700143</v>
      </c>
      <c r="X8" s="36">
        <f>Y7+1.4</f>
        <v>176.4</v>
      </c>
      <c r="Y8" s="36">
        <v>199.8</v>
      </c>
      <c r="Z8" s="119">
        <f>IF($B$10&gt;3.5,(100*(Y8^0.75))/($B$10*1000),(100*(Y8^0.75))/($B$10*1000))</f>
        <v>1.6109042466522321</v>
      </c>
      <c r="AB8" s="72">
        <f t="shared" si="0"/>
        <v>313.12060255261548</v>
      </c>
      <c r="AC8" s="152">
        <f t="shared" si="1"/>
        <v>35.748031496062993</v>
      </c>
      <c r="AD8" s="73">
        <f t="shared" si="2"/>
        <v>313.12060255261548</v>
      </c>
      <c r="AE8" s="154">
        <f t="shared" si="3"/>
        <v>35.748031496062993</v>
      </c>
      <c r="AF8" s="32"/>
      <c r="AG8" s="48">
        <f>VLOOKUP(AI8,$AB$5:AC59,2,TRUE)</f>
        <v>40.866141732283467</v>
      </c>
      <c r="AH8" s="49">
        <f t="shared" si="12"/>
        <v>40.866141732283467</v>
      </c>
      <c r="AI8" s="46">
        <f t="shared" si="5"/>
        <v>451.94763747899901</v>
      </c>
      <c r="AJ8" s="47">
        <f t="shared" si="4"/>
        <v>3.6205351543596525</v>
      </c>
    </row>
    <row r="9" spans="1:36" ht="15" thickBot="1" x14ac:dyDescent="0.35">
      <c r="A9" s="70" t="s">
        <v>50</v>
      </c>
      <c r="B9" s="71">
        <f>B7^0.75*0.1</f>
        <v>4.9142175528763206</v>
      </c>
      <c r="D9" s="62">
        <f t="shared" si="13"/>
        <v>4.1785538334750241</v>
      </c>
      <c r="E9" s="63">
        <f t="shared" si="14"/>
        <v>1.2666280900432418</v>
      </c>
      <c r="F9" s="43">
        <v>145</v>
      </c>
      <c r="G9" s="46">
        <f t="shared" si="6"/>
        <v>319.67018999999999</v>
      </c>
      <c r="H9" s="63">
        <f>IF('Terminal lines'!$D$14&gt;E9,'Terminal lines'!$D$14,E9)</f>
        <v>1.4853171428571432</v>
      </c>
      <c r="I9" s="49">
        <f t="shared" si="7"/>
        <v>3.2745637737626474</v>
      </c>
      <c r="J9" s="116">
        <f t="shared" si="15"/>
        <v>1.1726545104541581</v>
      </c>
      <c r="L9" s="72">
        <f t="shared" si="8"/>
        <v>142.02911620766892</v>
      </c>
      <c r="M9" s="158">
        <f t="shared" ref="M9" si="16">M8+0.5</f>
        <v>90.8</v>
      </c>
      <c r="N9" s="73">
        <f t="shared" si="8"/>
        <v>142.02911620766892</v>
      </c>
      <c r="O9" s="79">
        <f t="shared" ref="O9:O58" si="17">O8+0.5</f>
        <v>90.8</v>
      </c>
      <c r="Q9" s="48">
        <f t="shared" si="9"/>
        <v>103.8</v>
      </c>
      <c r="R9" s="49">
        <f t="shared" si="10"/>
        <v>103.8</v>
      </c>
      <c r="S9" s="43">
        <v>205</v>
      </c>
      <c r="T9" s="54">
        <f>VLOOKUP(S9,FFS!$F$7:$I$30,3)</f>
        <v>1.6422471213343106</v>
      </c>
      <c r="V9" s="119">
        <f t="shared" si="11"/>
        <v>103.50590091672137</v>
      </c>
      <c r="W9" s="119">
        <f t="shared" si="11"/>
        <v>108.7381789985881</v>
      </c>
      <c r="X9" s="36">
        <f>Y8+1.6</f>
        <v>201.4</v>
      </c>
      <c r="Y9" s="36">
        <v>230</v>
      </c>
      <c r="Z9" s="119">
        <f>IF($B$10&gt;3.5,(100*(Y9^0.75))/($B$10*1000),(100*(Y9^0.75))/($B$10*1000))</f>
        <v>1.7902718811841609</v>
      </c>
      <c r="AB9" s="72">
        <f t="shared" si="0"/>
        <v>317.70687791084333</v>
      </c>
      <c r="AC9" s="152">
        <f t="shared" si="1"/>
        <v>35.944881889763778</v>
      </c>
      <c r="AD9" s="73">
        <f t="shared" si="2"/>
        <v>317.70687791084333</v>
      </c>
      <c r="AE9" s="154">
        <f t="shared" si="3"/>
        <v>35.944881889763778</v>
      </c>
      <c r="AF9" s="32"/>
      <c r="AG9" s="48">
        <f>VLOOKUP(AI9,$AB$5:AC60,2,TRUE)</f>
        <v>41.653543307086615</v>
      </c>
      <c r="AH9" s="49">
        <f t="shared" si="12"/>
        <v>41.653543307086615</v>
      </c>
      <c r="AI9" s="46">
        <f t="shared" si="5"/>
        <v>473.9938636974868</v>
      </c>
      <c r="AJ9" s="47">
        <f t="shared" si="4"/>
        <v>3.7522020626678585</v>
      </c>
    </row>
    <row r="10" spans="1:36" x14ac:dyDescent="0.3">
      <c r="A10" s="32" t="s">
        <v>126</v>
      </c>
      <c r="B10" s="150">
        <f>'Terminal lines'!C7/1000</f>
        <v>3.2989587601301111</v>
      </c>
      <c r="D10" s="62">
        <f t="shared" si="13"/>
        <v>4.2861606445481994</v>
      </c>
      <c r="E10" s="63">
        <f t="shared" si="14"/>
        <v>1.2992465066096046</v>
      </c>
      <c r="F10" s="43">
        <v>150</v>
      </c>
      <c r="G10" s="46">
        <f t="shared" si="6"/>
        <v>330.69330000000002</v>
      </c>
      <c r="H10" s="63">
        <f>IF('Terminal lines'!$D$14&gt;E10,'Terminal lines'!$D$14,E10)</f>
        <v>1.4853171428571432</v>
      </c>
      <c r="I10" s="49">
        <f t="shared" si="7"/>
        <v>3.2745637737626474</v>
      </c>
      <c r="J10" s="116">
        <f t="shared" si="15"/>
        <v>1.1432142671163239</v>
      </c>
      <c r="L10" s="72">
        <f t="shared" si="8"/>
        <v>144.10941571688008</v>
      </c>
      <c r="M10" s="158">
        <v>91.3</v>
      </c>
      <c r="N10" s="73">
        <f t="shared" si="8"/>
        <v>144.10941571688008</v>
      </c>
      <c r="O10" s="79">
        <f t="shared" si="17"/>
        <v>91.3</v>
      </c>
      <c r="Q10" s="48">
        <f t="shared" si="9"/>
        <v>105.8</v>
      </c>
      <c r="R10" s="49">
        <f t="shared" si="10"/>
        <v>105.8</v>
      </c>
      <c r="S10" s="43">
        <v>215</v>
      </c>
      <c r="T10" s="54">
        <f>VLOOKUP(S10,FFS!$F$7:$I$30,3)</f>
        <v>1.7019702263244025</v>
      </c>
      <c r="V10" s="118"/>
      <c r="W10" s="118"/>
      <c r="X10" s="36"/>
      <c r="Y10" s="36"/>
      <c r="Z10" s="119"/>
      <c r="AB10" s="72">
        <f t="shared" si="0"/>
        <v>322.33771946407848</v>
      </c>
      <c r="AC10" s="152">
        <f t="shared" si="1"/>
        <v>36.14173228346457</v>
      </c>
      <c r="AD10" s="73">
        <f t="shared" si="2"/>
        <v>322.33771946407848</v>
      </c>
      <c r="AE10" s="154">
        <f t="shared" si="3"/>
        <v>36.14173228346457</v>
      </c>
      <c r="AF10" s="32"/>
      <c r="AG10" s="48">
        <f>VLOOKUP(AI10,$AB$5:AC61,2,TRUE)</f>
        <v>42.440944881889763</v>
      </c>
      <c r="AH10" s="49">
        <f t="shared" si="12"/>
        <v>42.440944881889763</v>
      </c>
      <c r="AI10" s="46">
        <f t="shared" si="5"/>
        <v>496.04008991597453</v>
      </c>
      <c r="AJ10" s="47">
        <f t="shared" si="4"/>
        <v>3.8823462128194413</v>
      </c>
    </row>
    <row r="11" spans="1:36" x14ac:dyDescent="0.3">
      <c r="D11" s="62">
        <f t="shared" si="13"/>
        <v>4.3928742728289576</v>
      </c>
      <c r="E11" s="63">
        <f t="shared" si="14"/>
        <v>1.3315941762957055</v>
      </c>
      <c r="F11" s="43">
        <v>155</v>
      </c>
      <c r="G11" s="46">
        <f t="shared" si="6"/>
        <v>341.71641</v>
      </c>
      <c r="H11" s="63">
        <f>IF('Terminal lines'!$D$14&gt;E11,'Terminal lines'!$D$14,E11)</f>
        <v>1.4853171428571432</v>
      </c>
      <c r="I11" s="49">
        <f t="shared" si="7"/>
        <v>3.2745637737626474</v>
      </c>
      <c r="J11" s="116">
        <f t="shared" si="15"/>
        <v>1.1154428047958813</v>
      </c>
      <c r="L11" s="72">
        <f t="shared" si="8"/>
        <v>146.20993011210649</v>
      </c>
      <c r="M11" s="158">
        <f t="shared" ref="M11" si="18">M10+0.5</f>
        <v>91.8</v>
      </c>
      <c r="N11" s="73">
        <f t="shared" si="8"/>
        <v>146.20993011210649</v>
      </c>
      <c r="O11" s="79">
        <f t="shared" si="17"/>
        <v>91.8</v>
      </c>
      <c r="Q11" s="48">
        <f t="shared" si="9"/>
        <v>107.8</v>
      </c>
      <c r="R11" s="49">
        <f t="shared" si="10"/>
        <v>107.8</v>
      </c>
      <c r="S11" s="43">
        <v>225</v>
      </c>
      <c r="T11" s="54">
        <f>VLOOKUP(S11,FFS!$F$7:$I$30,3)</f>
        <v>1.7610026198332949</v>
      </c>
      <c r="V11" s="118"/>
      <c r="W11" s="118"/>
      <c r="X11" s="36"/>
      <c r="Y11" s="36"/>
      <c r="Z11" s="119"/>
      <c r="AB11" s="72">
        <f t="shared" si="0"/>
        <v>327.01334269849065</v>
      </c>
      <c r="AC11" s="152">
        <f t="shared" si="1"/>
        <v>36.338582677165356</v>
      </c>
      <c r="AD11" s="73">
        <f t="shared" si="2"/>
        <v>327.01334269849065</v>
      </c>
      <c r="AE11" s="154">
        <f t="shared" si="3"/>
        <v>36.338582677165356</v>
      </c>
      <c r="AF11" s="32"/>
      <c r="AG11" s="48">
        <f>VLOOKUP(AI11,$AB$5:AC62,2,TRUE)</f>
        <v>43.031496062992126</v>
      </c>
      <c r="AH11" s="49">
        <f t="shared" si="12"/>
        <v>43.031496062992126</v>
      </c>
      <c r="AI11" s="46">
        <f t="shared" si="5"/>
        <v>518.08631613446232</v>
      </c>
      <c r="AJ11" s="47">
        <f t="shared" si="4"/>
        <v>4.0110517906629237</v>
      </c>
    </row>
    <row r="12" spans="1:36" ht="15" thickBot="1" x14ac:dyDescent="0.35">
      <c r="D12" s="62">
        <f t="shared" si="13"/>
        <v>4.4987306015227917</v>
      </c>
      <c r="E12" s="63">
        <f t="shared" si="14"/>
        <v>1.3636819762322101</v>
      </c>
      <c r="F12" s="43">
        <v>160</v>
      </c>
      <c r="G12" s="46">
        <f t="shared" si="6"/>
        <v>352.73952000000003</v>
      </c>
      <c r="H12" s="63">
        <f>IF('Terminal lines'!$D$14&gt;E12,'Terminal lines'!$D$14,E12)</f>
        <v>1.4853171428571432</v>
      </c>
      <c r="I12" s="49">
        <f t="shared" si="7"/>
        <v>3.2745637737626474</v>
      </c>
      <c r="J12" s="116">
        <f t="shared" si="15"/>
        <v>1.0891961386488405</v>
      </c>
      <c r="L12" s="72">
        <f t="shared" si="8"/>
        <v>148.33075713623057</v>
      </c>
      <c r="M12" s="158">
        <v>92.3</v>
      </c>
      <c r="N12" s="73">
        <f t="shared" si="8"/>
        <v>148.33075713623057</v>
      </c>
      <c r="O12" s="79">
        <f t="shared" si="17"/>
        <v>92.3</v>
      </c>
      <c r="Q12" s="48">
        <f t="shared" si="9"/>
        <v>109.3</v>
      </c>
      <c r="R12" s="49">
        <f t="shared" si="10"/>
        <v>109.3</v>
      </c>
      <c r="S12" s="43">
        <v>235</v>
      </c>
      <c r="T12" s="54">
        <f>VLOOKUP(S12,FFS!$F$7:$I$30,3)</f>
        <v>1.8193824879195397</v>
      </c>
      <c r="V12" s="118"/>
      <c r="W12" s="118"/>
      <c r="X12" s="36"/>
      <c r="Y12" s="36"/>
      <c r="Z12" s="119"/>
      <c r="AB12" s="72">
        <f t="shared" si="0"/>
        <v>331.73396310024884</v>
      </c>
      <c r="AC12" s="152">
        <f t="shared" si="1"/>
        <v>36.535433070866141</v>
      </c>
      <c r="AD12" s="73">
        <f t="shared" si="2"/>
        <v>331.73396310024884</v>
      </c>
      <c r="AE12" s="154">
        <f t="shared" si="3"/>
        <v>36.535433070866141</v>
      </c>
      <c r="AF12" s="32"/>
      <c r="AG12" s="50">
        <f>VLOOKUP(AI12,$AB$5:AC63,2,TRUE)</f>
        <v>43.818897637795274</v>
      </c>
      <c r="AH12" s="51">
        <f t="shared" si="12"/>
        <v>43.818897637795274</v>
      </c>
      <c r="AI12" s="52">
        <f t="shared" si="5"/>
        <v>540.13254235295005</v>
      </c>
      <c r="AJ12" s="53">
        <f t="shared" si="4"/>
        <v>4.1383949571769056</v>
      </c>
    </row>
    <row r="13" spans="1:36" ht="15" thickBot="1" x14ac:dyDescent="0.35">
      <c r="D13" s="62">
        <f t="shared" si="13"/>
        <v>4.6037629994166149</v>
      </c>
      <c r="E13" s="63">
        <f t="shared" si="14"/>
        <v>1.3955200213642689</v>
      </c>
      <c r="F13" s="43">
        <v>165</v>
      </c>
      <c r="G13" s="46">
        <f t="shared" si="6"/>
        <v>363.76263</v>
      </c>
      <c r="H13" s="63">
        <f>IF('Terminal lines'!$D$14&gt;E13,'Terminal lines'!$D$14,E13)</f>
        <v>1.4853171428571432</v>
      </c>
      <c r="I13" s="49">
        <f t="shared" si="7"/>
        <v>3.2745637737626474</v>
      </c>
      <c r="J13" s="116">
        <f t="shared" si="15"/>
        <v>1.0643467095549715</v>
      </c>
      <c r="L13" s="72">
        <f t="shared" si="8"/>
        <v>150.47199453213443</v>
      </c>
      <c r="M13" s="158">
        <f t="shared" ref="M13" si="19">M12+0.5</f>
        <v>92.8</v>
      </c>
      <c r="N13" s="73">
        <f t="shared" si="8"/>
        <v>150.47199453213443</v>
      </c>
      <c r="O13" s="79">
        <f t="shared" si="17"/>
        <v>92.8</v>
      </c>
      <c r="Q13" s="50">
        <f t="shared" si="9"/>
        <v>111.3</v>
      </c>
      <c r="R13" s="51">
        <f t="shared" si="10"/>
        <v>111.3</v>
      </c>
      <c r="S13" s="55">
        <v>245</v>
      </c>
      <c r="T13" s="56">
        <f>VLOOKUP(S13,FFS!$F$7:$I$30,3)</f>
        <v>1.8771443766219211</v>
      </c>
      <c r="V13" s="118"/>
      <c r="W13" s="118"/>
      <c r="X13" s="36"/>
      <c r="Y13" s="36"/>
      <c r="Z13" s="119"/>
      <c r="AB13" s="72">
        <f t="shared" si="0"/>
        <v>336.4997961555228</v>
      </c>
      <c r="AC13" s="152">
        <f t="shared" si="1"/>
        <v>36.732283464566933</v>
      </c>
      <c r="AD13" s="73">
        <f t="shared" si="2"/>
        <v>336.4997961555228</v>
      </c>
      <c r="AE13" s="154">
        <f t="shared" si="3"/>
        <v>36.732283464566933</v>
      </c>
      <c r="AF13" s="32"/>
      <c r="AG13" s="34"/>
      <c r="AH13" s="34"/>
    </row>
    <row r="14" spans="1:36" x14ac:dyDescent="0.3">
      <c r="D14" s="62">
        <f t="shared" si="13"/>
        <v>4.7080025677232822</v>
      </c>
      <c r="E14" s="63">
        <f t="shared" si="14"/>
        <v>1.4271177392764978</v>
      </c>
      <c r="F14" s="43">
        <v>170</v>
      </c>
      <c r="G14" s="46">
        <f t="shared" si="6"/>
        <v>374.78574000000003</v>
      </c>
      <c r="H14" s="63">
        <f>IF('Terminal lines'!$D$14&gt;E14,'Terminal lines'!$D$14,E14)</f>
        <v>1.4853171428571432</v>
      </c>
      <c r="I14" s="49">
        <f t="shared" si="7"/>
        <v>3.2745637737626474</v>
      </c>
      <c r="J14" s="116">
        <f t="shared" si="15"/>
        <v>1.0407810806206856</v>
      </c>
      <c r="L14" s="72">
        <f t="shared" si="8"/>
        <v>152.63374004270048</v>
      </c>
      <c r="M14" s="158">
        <v>93.3</v>
      </c>
      <c r="N14" s="73">
        <f t="shared" si="8"/>
        <v>152.63374004270048</v>
      </c>
      <c r="O14" s="79">
        <f t="shared" si="17"/>
        <v>93.3</v>
      </c>
      <c r="V14" s="118"/>
      <c r="W14" s="118"/>
      <c r="X14" s="36"/>
      <c r="Y14" s="36"/>
      <c r="Z14" s="119"/>
      <c r="AB14" s="72">
        <f t="shared" si="0"/>
        <v>341.31105735048146</v>
      </c>
      <c r="AC14" s="152">
        <f t="shared" si="1"/>
        <v>36.929133858267718</v>
      </c>
      <c r="AD14" s="73">
        <f t="shared" si="2"/>
        <v>341.31105735048146</v>
      </c>
      <c r="AE14" s="154">
        <f t="shared" si="3"/>
        <v>36.929133858267718</v>
      </c>
      <c r="AF14" s="32"/>
      <c r="AG14" s="34"/>
      <c r="AH14" s="34"/>
    </row>
    <row r="15" spans="1:36" x14ac:dyDescent="0.3">
      <c r="D15" s="62">
        <f t="shared" si="13"/>
        <v>4.8114783561619801</v>
      </c>
      <c r="E15" s="63">
        <f t="shared" si="14"/>
        <v>1.4584839356925501</v>
      </c>
      <c r="F15" s="43">
        <v>175</v>
      </c>
      <c r="G15" s="46">
        <f t="shared" si="6"/>
        <v>385.80885000000001</v>
      </c>
      <c r="H15" s="63">
        <f>IF('Terminal lines'!$D$14&gt;E15,'Terminal lines'!$D$14,E15)</f>
        <v>1.4853171428571432</v>
      </c>
      <c r="I15" s="49">
        <f t="shared" si="7"/>
        <v>3.2745637737626474</v>
      </c>
      <c r="J15" s="116">
        <f t="shared" si="15"/>
        <v>1.018398013517956</v>
      </c>
      <c r="L15" s="72">
        <f t="shared" si="8"/>
        <v>154.8160914108108</v>
      </c>
      <c r="M15" s="158">
        <f t="shared" ref="M15" si="20">M14+0.5</f>
        <v>93.8</v>
      </c>
      <c r="N15" s="73">
        <f t="shared" si="8"/>
        <v>154.8160914108108</v>
      </c>
      <c r="O15" s="79">
        <f t="shared" si="17"/>
        <v>93.8</v>
      </c>
      <c r="V15" s="118"/>
      <c r="W15" s="118"/>
      <c r="X15" s="36"/>
      <c r="Y15" s="36"/>
      <c r="Z15" s="119"/>
      <c r="AB15" s="72">
        <f t="shared" si="0"/>
        <v>346.16796217129445</v>
      </c>
      <c r="AC15" s="152">
        <f t="shared" si="1"/>
        <v>37.125984251968504</v>
      </c>
      <c r="AD15" s="73">
        <f t="shared" si="2"/>
        <v>346.16796217129445</v>
      </c>
      <c r="AE15" s="154">
        <f t="shared" si="3"/>
        <v>37.125984251968504</v>
      </c>
      <c r="AF15" s="32"/>
      <c r="AG15" s="34"/>
      <c r="AH15" s="34"/>
    </row>
    <row r="16" spans="1:36" x14ac:dyDescent="0.3">
      <c r="D16" s="62">
        <f t="shared" si="13"/>
        <v>4.9142175528763206</v>
      </c>
      <c r="E16" s="63">
        <f t="shared" si="14"/>
        <v>1.48962685204422</v>
      </c>
      <c r="F16" s="43">
        <v>180</v>
      </c>
      <c r="G16" s="46">
        <f t="shared" si="6"/>
        <v>396.83196000000004</v>
      </c>
      <c r="H16" s="63">
        <f>IF('Terminal lines'!$D$14&gt;E16,'Terminal lines'!$D$14,E16)</f>
        <v>1.48962685204422</v>
      </c>
      <c r="I16" s="49">
        <f t="shared" si="7"/>
        <v>3.2840650561300664</v>
      </c>
      <c r="J16" s="116">
        <f t="shared" si="15"/>
        <v>1</v>
      </c>
      <c r="L16" s="72">
        <f t="shared" si="8"/>
        <v>157.0191463793478</v>
      </c>
      <c r="M16" s="158">
        <v>94.3</v>
      </c>
      <c r="N16" s="73">
        <f t="shared" si="8"/>
        <v>157.0191463793478</v>
      </c>
      <c r="O16" s="79">
        <f t="shared" si="17"/>
        <v>94.3</v>
      </c>
      <c r="V16" s="118"/>
      <c r="W16" s="118"/>
      <c r="X16" s="36"/>
      <c r="Y16" s="36"/>
      <c r="Z16" s="119"/>
      <c r="AB16" s="72">
        <f t="shared" si="0"/>
        <v>351.07072610413081</v>
      </c>
      <c r="AC16" s="152">
        <f t="shared" si="1"/>
        <v>37.322834645669289</v>
      </c>
      <c r="AD16" s="73">
        <f t="shared" si="2"/>
        <v>351.07072610413081</v>
      </c>
      <c r="AE16" s="154">
        <f t="shared" si="3"/>
        <v>37.322834645669289</v>
      </c>
      <c r="AF16" s="32"/>
      <c r="AG16" s="34"/>
      <c r="AH16" s="34"/>
    </row>
    <row r="17" spans="4:34" x14ac:dyDescent="0.3">
      <c r="D17" s="62">
        <f t="shared" si="13"/>
        <v>5.0162456519951801</v>
      </c>
      <c r="E17" s="63">
        <f t="shared" si="14"/>
        <v>1.5205542162634791</v>
      </c>
      <c r="F17" s="43">
        <v>185</v>
      </c>
      <c r="G17" s="46">
        <f t="shared" si="6"/>
        <v>407.85507000000001</v>
      </c>
      <c r="H17" s="63">
        <f>IF('Terminal lines'!$D$14&gt;E17,'Terminal lines'!$D$14,E17)</f>
        <v>1.5205542162634791</v>
      </c>
      <c r="I17" s="49">
        <f t="shared" si="7"/>
        <v>3.3522482229220016</v>
      </c>
      <c r="J17" s="116">
        <f t="shared" si="15"/>
        <v>1</v>
      </c>
      <c r="L17" s="72">
        <f t="shared" si="8"/>
        <v>159.24300269119357</v>
      </c>
      <c r="M17" s="158">
        <f t="shared" ref="M17" si="21">M16+0.5</f>
        <v>94.8</v>
      </c>
      <c r="N17" s="73">
        <f t="shared" si="8"/>
        <v>159.24300269119357</v>
      </c>
      <c r="O17" s="79">
        <f t="shared" si="17"/>
        <v>94.8</v>
      </c>
      <c r="Q17" s="151">
        <f>(N17^(1/3)-0.6139)/0.0507</f>
        <v>94.799999999999969</v>
      </c>
      <c r="R17" s="150"/>
      <c r="V17" s="118"/>
      <c r="W17" s="118"/>
      <c r="X17" s="36"/>
      <c r="Y17" s="36"/>
      <c r="Z17" s="119"/>
      <c r="AB17" s="72">
        <f t="shared" si="0"/>
        <v>356.01956463516024</v>
      </c>
      <c r="AC17" s="152">
        <f t="shared" si="1"/>
        <v>37.519685039370081</v>
      </c>
      <c r="AD17" s="73">
        <f t="shared" si="2"/>
        <v>356.01956463516024</v>
      </c>
      <c r="AE17" s="154">
        <f t="shared" si="3"/>
        <v>37.519685039370081</v>
      </c>
      <c r="AF17" s="32"/>
      <c r="AG17" s="34"/>
      <c r="AH17" s="34"/>
    </row>
    <row r="18" spans="4:34" x14ac:dyDescent="0.3">
      <c r="D18" s="62">
        <f t="shared" si="13"/>
        <v>5.1175866020001495</v>
      </c>
      <c r="E18" s="63">
        <f t="shared" si="14"/>
        <v>1.5512732877565016</v>
      </c>
      <c r="F18" s="43">
        <v>190</v>
      </c>
      <c r="G18" s="46">
        <f t="shared" si="6"/>
        <v>418.87818000000004</v>
      </c>
      <c r="H18" s="63">
        <f>IF('Terminal lines'!$D$14&gt;E18,'Terminal lines'!$D$14,E18)</f>
        <v>1.5512732877565016</v>
      </c>
      <c r="I18" s="49">
        <f t="shared" si="7"/>
        <v>3.419972182857709</v>
      </c>
      <c r="J18" s="116">
        <f t="shared" si="15"/>
        <v>1</v>
      </c>
      <c r="L18" s="72">
        <f t="shared" si="8"/>
        <v>161.48775808923051</v>
      </c>
      <c r="M18" s="158">
        <v>95.3</v>
      </c>
      <c r="N18" s="73">
        <f t="shared" si="8"/>
        <v>161.48775808923051</v>
      </c>
      <c r="O18" s="79">
        <f t="shared" si="17"/>
        <v>95.3</v>
      </c>
      <c r="Q18" s="151"/>
      <c r="R18" s="150"/>
      <c r="X18" s="34"/>
      <c r="Y18" s="34"/>
      <c r="AB18" s="72">
        <f t="shared" si="0"/>
        <v>361.0146932505516</v>
      </c>
      <c r="AC18" s="152">
        <f t="shared" si="1"/>
        <v>37.716535433070867</v>
      </c>
      <c r="AD18" s="73">
        <f t="shared" si="2"/>
        <v>361.0146932505516</v>
      </c>
      <c r="AE18" s="154">
        <f t="shared" si="3"/>
        <v>37.716535433070867</v>
      </c>
      <c r="AF18" s="32"/>
      <c r="AG18" s="34"/>
      <c r="AH18" s="34"/>
    </row>
    <row r="19" spans="4:34" x14ac:dyDescent="0.3">
      <c r="D19" s="62">
        <f t="shared" si="13"/>
        <v>5.2182629375443934</v>
      </c>
      <c r="E19" s="63">
        <f t="shared" si="14"/>
        <v>1.5817908973613799</v>
      </c>
      <c r="F19" s="43">
        <v>195</v>
      </c>
      <c r="G19" s="46">
        <f t="shared" si="6"/>
        <v>429.90129000000002</v>
      </c>
      <c r="H19" s="63">
        <f>IF('Terminal lines'!$D$14&gt;E19,'Terminal lines'!$D$14,E19)</f>
        <v>1.5817908973613799</v>
      </c>
      <c r="I19" s="49">
        <f t="shared" si="7"/>
        <v>3.4872519953573731</v>
      </c>
      <c r="J19" s="116">
        <f t="shared" si="15"/>
        <v>1</v>
      </c>
      <c r="L19" s="72">
        <f t="shared" si="8"/>
        <v>163.75351031634071</v>
      </c>
      <c r="M19" s="158">
        <f t="shared" ref="M19" si="22">M18+0.5</f>
        <v>95.8</v>
      </c>
      <c r="N19" s="73">
        <f t="shared" si="8"/>
        <v>163.75351031634071</v>
      </c>
      <c r="O19" s="79">
        <f t="shared" si="17"/>
        <v>95.8</v>
      </c>
      <c r="Q19" s="151"/>
      <c r="R19" s="150"/>
      <c r="AB19" s="72">
        <f t="shared" si="0"/>
        <v>366.05632743647476</v>
      </c>
      <c r="AC19" s="152">
        <f t="shared" si="1"/>
        <v>37.913385826771659</v>
      </c>
      <c r="AD19" s="73">
        <f t="shared" si="2"/>
        <v>366.05632743647476</v>
      </c>
      <c r="AE19" s="154">
        <f t="shared" si="3"/>
        <v>37.913385826771659</v>
      </c>
      <c r="AF19" s="32"/>
      <c r="AG19" s="34"/>
      <c r="AH19" s="34"/>
    </row>
    <row r="20" spans="4:34" x14ac:dyDescent="0.3">
      <c r="D20" s="62">
        <f t="shared" si="13"/>
        <v>5.3182958969449858</v>
      </c>
      <c r="E20" s="63">
        <f t="shared" si="14"/>
        <v>1.6121134829631008</v>
      </c>
      <c r="F20" s="43">
        <v>200</v>
      </c>
      <c r="G20" s="46">
        <f t="shared" si="6"/>
        <v>440.92439999999999</v>
      </c>
      <c r="H20" s="63">
        <f>IF('Terminal lines'!$D$14&gt;E20,'Terminal lines'!$D$14,E20)</f>
        <v>1.6121134829631008</v>
      </c>
      <c r="I20" s="49">
        <f t="shared" si="7"/>
        <v>3.554101853527873</v>
      </c>
      <c r="J20" s="116">
        <f t="shared" si="15"/>
        <v>1</v>
      </c>
      <c r="L20" s="72">
        <f t="shared" si="8"/>
        <v>166.04035711540661</v>
      </c>
      <c r="M20" s="158">
        <v>96.3</v>
      </c>
      <c r="N20" s="73">
        <f t="shared" si="8"/>
        <v>166.04035711540661</v>
      </c>
      <c r="O20" s="79">
        <f t="shared" si="17"/>
        <v>96.3</v>
      </c>
      <c r="Q20" s="151"/>
      <c r="R20" s="150"/>
      <c r="AB20" s="72">
        <f t="shared" si="0"/>
        <v>371.14468267909854</v>
      </c>
      <c r="AC20" s="152">
        <f t="shared" si="1"/>
        <v>38.110236220472444</v>
      </c>
      <c r="AD20" s="73">
        <f t="shared" si="2"/>
        <v>371.14468267909854</v>
      </c>
      <c r="AE20" s="154">
        <f t="shared" si="3"/>
        <v>38.110236220472444</v>
      </c>
      <c r="AF20" s="32"/>
      <c r="AG20" s="34"/>
      <c r="AH20" s="34"/>
    </row>
    <row r="21" spans="4:34" x14ac:dyDescent="0.3">
      <c r="D21" s="62">
        <f t="shared" si="13"/>
        <v>5.4177055272242818</v>
      </c>
      <c r="E21" s="63">
        <f t="shared" si="14"/>
        <v>1.6422471213343106</v>
      </c>
      <c r="F21" s="43">
        <v>205</v>
      </c>
      <c r="G21" s="46">
        <f t="shared" si="6"/>
        <v>451.94751000000002</v>
      </c>
      <c r="H21" s="63">
        <f>IF('Terminal lines'!$D$14&gt;E21,'Terminal lines'!$D$14,E21)</f>
        <v>1.6422471213343106</v>
      </c>
      <c r="I21" s="49">
        <f t="shared" si="7"/>
        <v>3.6205351543596525</v>
      </c>
      <c r="J21" s="116">
        <f t="shared" si="15"/>
        <v>1</v>
      </c>
      <c r="L21" s="72">
        <f t="shared" si="8"/>
        <v>168.34839622931028</v>
      </c>
      <c r="M21" s="158">
        <f t="shared" ref="M21" si="23">M20+0.5</f>
        <v>96.8</v>
      </c>
      <c r="N21" s="73">
        <f t="shared" si="8"/>
        <v>168.34839622931028</v>
      </c>
      <c r="O21" s="79">
        <f t="shared" si="17"/>
        <v>96.8</v>
      </c>
      <c r="Q21" s="151"/>
      <c r="R21" s="150"/>
      <c r="AB21" s="72">
        <f t="shared" si="0"/>
        <v>376.27997446459278</v>
      </c>
      <c r="AC21" s="152">
        <f t="shared" si="1"/>
        <v>38.30708661417323</v>
      </c>
      <c r="AD21" s="73">
        <f t="shared" si="2"/>
        <v>376.27997446459278</v>
      </c>
      <c r="AE21" s="154">
        <f t="shared" si="3"/>
        <v>38.30708661417323</v>
      </c>
      <c r="AF21" s="32"/>
      <c r="AG21" s="34"/>
      <c r="AH21" s="34"/>
    </row>
    <row r="22" spans="4:34" x14ac:dyDescent="0.3">
      <c r="D22" s="62">
        <f t="shared" si="13"/>
        <v>5.5165107782907299</v>
      </c>
      <c r="E22" s="63">
        <f t="shared" si="14"/>
        <v>1.6721975566839635</v>
      </c>
      <c r="F22" s="43">
        <v>210</v>
      </c>
      <c r="G22" s="46">
        <f t="shared" si="6"/>
        <v>462.97062</v>
      </c>
      <c r="H22" s="63">
        <f>IF('Terminal lines'!$D$14&gt;E22,'Terminal lines'!$D$14,E22)</f>
        <v>1.6721975566839635</v>
      </c>
      <c r="I22" s="49">
        <f t="shared" si="7"/>
        <v>3.6865645616657163</v>
      </c>
      <c r="J22" s="116">
        <f t="shared" si="15"/>
        <v>1</v>
      </c>
      <c r="L22" s="72">
        <f t="shared" si="8"/>
        <v>170.67772540093412</v>
      </c>
      <c r="M22" s="158">
        <v>97.3</v>
      </c>
      <c r="N22" s="73">
        <f t="shared" si="8"/>
        <v>170.67772540093412</v>
      </c>
      <c r="O22" s="79">
        <f t="shared" si="17"/>
        <v>97.3</v>
      </c>
      <c r="Q22" s="151"/>
      <c r="R22" s="150"/>
      <c r="AB22" s="72">
        <f t="shared" si="0"/>
        <v>381.46241827912633</v>
      </c>
      <c r="AC22" s="152">
        <f t="shared" si="1"/>
        <v>38.503937007874015</v>
      </c>
      <c r="AD22" s="73">
        <f t="shared" si="2"/>
        <v>381.46241827912633</v>
      </c>
      <c r="AE22" s="154">
        <f t="shared" si="3"/>
        <v>38.503937007874015</v>
      </c>
      <c r="AF22" s="32"/>
      <c r="AG22" s="34"/>
      <c r="AH22" s="34"/>
    </row>
    <row r="23" spans="4:34" x14ac:dyDescent="0.3">
      <c r="D23" s="62">
        <f t="shared" si="13"/>
        <v>5.6147295876135157</v>
      </c>
      <c r="E23" s="63">
        <f t="shared" si="14"/>
        <v>1.7019702263244025</v>
      </c>
      <c r="F23" s="43">
        <v>215</v>
      </c>
      <c r="G23" s="46">
        <f t="shared" si="6"/>
        <v>473.99373000000003</v>
      </c>
      <c r="H23" s="63">
        <f>IF('Terminal lines'!$D$14&gt;E23,'Terminal lines'!$D$14,E23)</f>
        <v>1.7019702263244025</v>
      </c>
      <c r="I23" s="49">
        <f t="shared" si="7"/>
        <v>3.7522020626678585</v>
      </c>
      <c r="J23" s="116">
        <f t="shared" si="15"/>
        <v>1</v>
      </c>
      <c r="L23" s="72">
        <f t="shared" si="8"/>
        <v>173.02844237316023</v>
      </c>
      <c r="M23" s="158">
        <f t="shared" ref="M23" si="24">M22+0.5</f>
        <v>97.8</v>
      </c>
      <c r="N23" s="73">
        <f t="shared" si="8"/>
        <v>173.02844237316023</v>
      </c>
      <c r="O23" s="79">
        <f t="shared" si="17"/>
        <v>97.8</v>
      </c>
      <c r="Q23" s="151"/>
      <c r="R23" s="150"/>
      <c r="AB23" s="72">
        <f t="shared" si="0"/>
        <v>386.6922296088689</v>
      </c>
      <c r="AC23" s="152">
        <f t="shared" si="1"/>
        <v>38.700787401574807</v>
      </c>
      <c r="AD23" s="73">
        <f t="shared" si="2"/>
        <v>386.6922296088689</v>
      </c>
      <c r="AE23" s="154">
        <f t="shared" si="3"/>
        <v>38.700787401574807</v>
      </c>
      <c r="AF23" s="32"/>
      <c r="AG23" s="34"/>
      <c r="AH23" s="34"/>
    </row>
    <row r="24" spans="4:34" x14ac:dyDescent="0.3">
      <c r="D24" s="62">
        <f t="shared" si="13"/>
        <v>5.7123789565487444</v>
      </c>
      <c r="E24" s="63">
        <f t="shared" si="14"/>
        <v>1.731570283807806</v>
      </c>
      <c r="F24" s="43">
        <v>220</v>
      </c>
      <c r="G24" s="46">
        <f t="shared" si="6"/>
        <v>485.01684</v>
      </c>
      <c r="H24" s="63">
        <f>IF('Terminal lines'!$D$14&gt;E24,'Terminal lines'!$D$14,E24)</f>
        <v>1.731570283807806</v>
      </c>
      <c r="I24" s="49">
        <f t="shared" si="7"/>
        <v>3.8174590190037936</v>
      </c>
      <c r="J24" s="116">
        <f t="shared" si="15"/>
        <v>1</v>
      </c>
      <c r="L24" s="72">
        <f t="shared" si="8"/>
        <v>175.40064488887103</v>
      </c>
      <c r="M24" s="158">
        <v>98.3</v>
      </c>
      <c r="N24" s="73">
        <f t="shared" si="8"/>
        <v>175.40064488887103</v>
      </c>
      <c r="O24" s="79">
        <f t="shared" si="17"/>
        <v>98.3</v>
      </c>
      <c r="Q24" s="151"/>
      <c r="R24" s="150"/>
      <c r="AB24" s="72">
        <f t="shared" si="0"/>
        <v>391.9696239399895</v>
      </c>
      <c r="AC24" s="152">
        <f t="shared" si="1"/>
        <v>38.897637795275593</v>
      </c>
      <c r="AD24" s="73">
        <f t="shared" si="2"/>
        <v>391.9696239399895</v>
      </c>
      <c r="AE24" s="154">
        <f t="shared" si="3"/>
        <v>38.897637795275593</v>
      </c>
      <c r="AF24" s="32"/>
      <c r="AG24" s="34"/>
      <c r="AH24" s="34"/>
    </row>
    <row r="25" spans="4:34" x14ac:dyDescent="0.3">
      <c r="D25" s="62">
        <f t="shared" si="13"/>
        <v>5.8094750193111242</v>
      </c>
      <c r="E25" s="63">
        <f t="shared" si="14"/>
        <v>1.7610026198332949</v>
      </c>
      <c r="F25" s="43">
        <v>225</v>
      </c>
      <c r="G25" s="46">
        <f t="shared" si="6"/>
        <v>496.03995000000003</v>
      </c>
      <c r="H25" s="63">
        <f>IF('Terminal lines'!$D$14&gt;E25,'Terminal lines'!$D$14,E25)</f>
        <v>1.7610026198332949</v>
      </c>
      <c r="I25" s="49">
        <f t="shared" si="7"/>
        <v>3.8823462128194413</v>
      </c>
      <c r="J25" s="116">
        <f t="shared" si="15"/>
        <v>1</v>
      </c>
      <c r="L25" s="72">
        <f t="shared" si="8"/>
        <v>177.79443069094859</v>
      </c>
      <c r="M25" s="158">
        <f t="shared" ref="M25" si="25">M24+0.5</f>
        <v>98.8</v>
      </c>
      <c r="N25" s="73">
        <f t="shared" si="8"/>
        <v>177.79443069094859</v>
      </c>
      <c r="O25" s="79">
        <f t="shared" si="17"/>
        <v>98.8</v>
      </c>
      <c r="Q25" s="151"/>
      <c r="R25" s="150"/>
      <c r="AB25" s="72">
        <f t="shared" si="0"/>
        <v>397.29481675865782</v>
      </c>
      <c r="AC25" s="152">
        <f t="shared" si="1"/>
        <v>39.094488188976378</v>
      </c>
      <c r="AD25" s="73">
        <f t="shared" si="2"/>
        <v>397.29481675865782</v>
      </c>
      <c r="AE25" s="154">
        <f t="shared" si="3"/>
        <v>39.094488188976378</v>
      </c>
      <c r="AF25" s="32"/>
      <c r="AG25" s="34"/>
      <c r="AH25" s="34"/>
    </row>
    <row r="26" spans="4:34" x14ac:dyDescent="0.3">
      <c r="D26" s="62">
        <f t="shared" si="13"/>
        <v>5.9060331054471007</v>
      </c>
      <c r="E26" s="63">
        <f t="shared" si="14"/>
        <v>1.7902718811841607</v>
      </c>
      <c r="F26" s="43">
        <v>230</v>
      </c>
      <c r="G26" s="46">
        <f t="shared" si="6"/>
        <v>507.06306000000001</v>
      </c>
      <c r="H26" s="63">
        <f>IF('Terminal lines'!$D$14&gt;E26,'Terminal lines'!$D$14,E26)</f>
        <v>1.7902718811841607</v>
      </c>
      <c r="I26" s="49">
        <f t="shared" si="7"/>
        <v>3.9468738885183638</v>
      </c>
      <c r="J26" s="116">
        <f t="shared" si="15"/>
        <v>1</v>
      </c>
      <c r="L26" s="72">
        <f t="shared" si="8"/>
        <v>180.20989752227533</v>
      </c>
      <c r="M26" s="158">
        <v>99.3</v>
      </c>
      <c r="N26" s="73">
        <f t="shared" si="8"/>
        <v>180.20989752227533</v>
      </c>
      <c r="O26" s="79">
        <f t="shared" si="17"/>
        <v>99.3</v>
      </c>
      <c r="Q26" s="151"/>
      <c r="R26" s="150"/>
      <c r="AB26" s="72">
        <f t="shared" si="0"/>
        <v>402.66802355104295</v>
      </c>
      <c r="AC26" s="152">
        <f t="shared" si="1"/>
        <v>39.29133858267717</v>
      </c>
      <c r="AD26" s="73">
        <f t="shared" si="2"/>
        <v>402.66802355104295</v>
      </c>
      <c r="AE26" s="154">
        <f t="shared" si="3"/>
        <v>39.29133858267717</v>
      </c>
      <c r="AF26" s="32"/>
      <c r="AG26" s="34"/>
      <c r="AH26" s="34"/>
    </row>
    <row r="27" spans="4:34" x14ac:dyDescent="0.3">
      <c r="D27" s="62">
        <f t="shared" si="13"/>
        <v>6.0020677965494817</v>
      </c>
      <c r="E27" s="63">
        <f t="shared" si="14"/>
        <v>1.8193824879195397</v>
      </c>
      <c r="F27" s="43">
        <v>235</v>
      </c>
      <c r="G27" s="46">
        <f t="shared" si="6"/>
        <v>518.08617000000004</v>
      </c>
      <c r="H27" s="63">
        <f>IF('Terminal lines'!$D$14&gt;E27,'Terminal lines'!$D$14,E27)</f>
        <v>1.8193824879195397</v>
      </c>
      <c r="I27" s="49">
        <f t="shared" si="7"/>
        <v>4.0110517906629237</v>
      </c>
      <c r="J27" s="116">
        <f t="shared" si="15"/>
        <v>1</v>
      </c>
      <c r="L27" s="72">
        <f t="shared" si="8"/>
        <v>182.64714312573341</v>
      </c>
      <c r="M27" s="158">
        <f t="shared" ref="M27" si="26">M26+0.5</f>
        <v>99.8</v>
      </c>
      <c r="N27" s="73">
        <f t="shared" si="8"/>
        <v>182.64714312573341</v>
      </c>
      <c r="O27" s="79">
        <f t="shared" si="17"/>
        <v>99.8</v>
      </c>
      <c r="Q27" s="151"/>
      <c r="R27" s="150"/>
      <c r="AB27" s="72">
        <f t="shared" si="0"/>
        <v>408.08945980331418</v>
      </c>
      <c r="AC27" s="152">
        <f t="shared" si="1"/>
        <v>39.488188976377948</v>
      </c>
      <c r="AD27" s="73">
        <f t="shared" si="2"/>
        <v>408.08945980331418</v>
      </c>
      <c r="AE27" s="154">
        <f t="shared" si="3"/>
        <v>39.488188976377948</v>
      </c>
      <c r="AF27" s="32"/>
      <c r="AG27" s="34"/>
      <c r="AH27" s="34"/>
    </row>
    <row r="28" spans="4:34" x14ac:dyDescent="0.3">
      <c r="D28" s="62">
        <f t="shared" si="13"/>
        <v>6.097592977855375</v>
      </c>
      <c r="E28" s="63">
        <f t="shared" si="14"/>
        <v>1.8483386490150866</v>
      </c>
      <c r="F28" s="43">
        <v>240</v>
      </c>
      <c r="G28" s="46">
        <f t="shared" si="6"/>
        <v>529.10928000000001</v>
      </c>
      <c r="H28" s="63">
        <f>IF('Terminal lines'!$D$14&gt;E28,'Terminal lines'!$D$14,E28)</f>
        <v>1.8483386490150866</v>
      </c>
      <c r="I28" s="49">
        <f t="shared" si="7"/>
        <v>4.0748891984560638</v>
      </c>
      <c r="J28" s="116">
        <f t="shared" si="15"/>
        <v>1</v>
      </c>
      <c r="L28" s="72">
        <f t="shared" si="8"/>
        <v>185.10626524420502</v>
      </c>
      <c r="M28" s="158">
        <v>100.3</v>
      </c>
      <c r="N28" s="73">
        <f t="shared" si="8"/>
        <v>185.10626524420502</v>
      </c>
      <c r="O28" s="79">
        <f t="shared" si="17"/>
        <v>100.3</v>
      </c>
      <c r="Q28" s="151"/>
      <c r="R28" s="150"/>
      <c r="AB28" s="72">
        <f t="shared" si="0"/>
        <v>413.5593410016412</v>
      </c>
      <c r="AC28" s="152">
        <f t="shared" si="1"/>
        <v>39.685039370078741</v>
      </c>
      <c r="AD28" s="73">
        <f t="shared" si="2"/>
        <v>413.5593410016412</v>
      </c>
      <c r="AE28" s="154">
        <f t="shared" si="3"/>
        <v>39.685039370078741</v>
      </c>
      <c r="AF28" s="32"/>
      <c r="AG28" s="34"/>
      <c r="AH28" s="34"/>
    </row>
    <row r="29" spans="4:34" x14ac:dyDescent="0.3">
      <c r="D29" s="62">
        <f t="shared" si="13"/>
        <v>6.1926218852858632</v>
      </c>
      <c r="E29" s="63">
        <f t="shared" si="14"/>
        <v>1.8771443766219211</v>
      </c>
      <c r="F29" s="43">
        <v>245</v>
      </c>
      <c r="G29" s="46">
        <f t="shared" si="6"/>
        <v>540.13238999999999</v>
      </c>
      <c r="H29" s="63">
        <f>IF('Terminal lines'!$D$14&gt;E29,'Terminal lines'!$D$14,E29)</f>
        <v>1.8771443766219211</v>
      </c>
      <c r="I29" s="49">
        <f t="shared" si="7"/>
        <v>4.1383949571769056</v>
      </c>
      <c r="J29" s="116">
        <f t="shared" si="15"/>
        <v>1</v>
      </c>
      <c r="L29" s="72">
        <f t="shared" si="8"/>
        <v>187.58736162057261</v>
      </c>
      <c r="M29" s="158">
        <f t="shared" ref="M29" si="27">M28+0.5</f>
        <v>100.8</v>
      </c>
      <c r="N29" s="73">
        <f t="shared" si="8"/>
        <v>187.58736162057261</v>
      </c>
      <c r="O29" s="79">
        <f t="shared" si="17"/>
        <v>100.8</v>
      </c>
      <c r="Q29" s="151"/>
      <c r="R29" s="150"/>
      <c r="AB29" s="72">
        <f t="shared" si="0"/>
        <v>419.07788263219271</v>
      </c>
      <c r="AC29" s="152">
        <f t="shared" si="1"/>
        <v>39.881889763779526</v>
      </c>
      <c r="AD29" s="73">
        <f t="shared" si="2"/>
        <v>419.07788263219271</v>
      </c>
      <c r="AE29" s="154">
        <f t="shared" si="3"/>
        <v>39.881889763779526</v>
      </c>
      <c r="AF29" s="32"/>
      <c r="AG29" s="34"/>
      <c r="AH29" s="34"/>
    </row>
    <row r="30" spans="4:34" ht="15" thickBot="1" x14ac:dyDescent="0.35">
      <c r="D30" s="64">
        <f t="shared" si="13"/>
        <v>6.2871671484146754</v>
      </c>
      <c r="E30" s="65">
        <f t="shared" si="14"/>
        <v>1.9058034990915464</v>
      </c>
      <c r="F30" s="55">
        <v>250</v>
      </c>
      <c r="G30" s="52">
        <f t="shared" si="6"/>
        <v>551.15550000000007</v>
      </c>
      <c r="H30" s="65">
        <f>IF('Terminal lines'!$D$14&gt;E30,'Terminal lines'!$D$14,E30)</f>
        <v>1.9058034990915464</v>
      </c>
      <c r="I30" s="51">
        <f t="shared" si="7"/>
        <v>4.2015775068957764</v>
      </c>
      <c r="J30" s="117">
        <f t="shared" si="15"/>
        <v>1</v>
      </c>
      <c r="L30" s="72">
        <f t="shared" si="8"/>
        <v>190.09052999771814</v>
      </c>
      <c r="M30" s="158">
        <v>101.3</v>
      </c>
      <c r="N30" s="73">
        <f t="shared" si="8"/>
        <v>190.09052999771814</v>
      </c>
      <c r="O30" s="79">
        <f t="shared" si="17"/>
        <v>101.3</v>
      </c>
      <c r="Q30" s="151"/>
      <c r="R30" s="150"/>
      <c r="AB30" s="72">
        <f t="shared" si="0"/>
        <v>424.64530018113868</v>
      </c>
      <c r="AC30" s="152">
        <f t="shared" si="1"/>
        <v>40.078740157480318</v>
      </c>
      <c r="AD30" s="73">
        <f t="shared" si="2"/>
        <v>424.64530018113868</v>
      </c>
      <c r="AE30" s="154">
        <f t="shared" si="3"/>
        <v>40.078740157480318</v>
      </c>
      <c r="AF30" s="32"/>
      <c r="AG30" s="34"/>
      <c r="AH30" s="34"/>
    </row>
    <row r="31" spans="4:34" x14ac:dyDescent="0.3">
      <c r="L31" s="72">
        <f t="shared" si="8"/>
        <v>192.61586811852413</v>
      </c>
      <c r="M31" s="158">
        <f t="shared" ref="M31" si="28">M30+0.5</f>
        <v>101.8</v>
      </c>
      <c r="N31" s="73">
        <f t="shared" si="8"/>
        <v>192.61586811852413</v>
      </c>
      <c r="O31" s="79">
        <f t="shared" si="17"/>
        <v>101.8</v>
      </c>
      <c r="Q31" s="151"/>
      <c r="R31" s="150"/>
      <c r="AB31" s="72">
        <f t="shared" si="0"/>
        <v>430.26180913464799</v>
      </c>
      <c r="AC31" s="152">
        <f t="shared" si="1"/>
        <v>40.275590551181104</v>
      </c>
      <c r="AD31" s="73">
        <f t="shared" si="2"/>
        <v>430.26180913464799</v>
      </c>
      <c r="AE31" s="154">
        <f t="shared" si="3"/>
        <v>40.275590551181104</v>
      </c>
      <c r="AF31" s="32"/>
    </row>
    <row r="32" spans="4:34" x14ac:dyDescent="0.3">
      <c r="L32" s="72">
        <f t="shared" si="8"/>
        <v>195.16347372587265</v>
      </c>
      <c r="M32" s="158">
        <v>102.3</v>
      </c>
      <c r="N32" s="73">
        <f t="shared" si="8"/>
        <v>195.16347372587265</v>
      </c>
      <c r="O32" s="79">
        <f t="shared" si="17"/>
        <v>102.3</v>
      </c>
      <c r="Q32" s="151"/>
      <c r="R32" s="150"/>
      <c r="AB32" s="72">
        <f t="shared" si="0"/>
        <v>435.92762497889038</v>
      </c>
      <c r="AC32" s="152">
        <f t="shared" si="1"/>
        <v>40.472440944881889</v>
      </c>
      <c r="AD32" s="73">
        <f t="shared" si="2"/>
        <v>435.92762497889038</v>
      </c>
      <c r="AE32" s="154">
        <f t="shared" si="3"/>
        <v>40.472440944881889</v>
      </c>
      <c r="AF32" s="32"/>
    </row>
    <row r="33" spans="12:32" x14ac:dyDescent="0.3">
      <c r="L33" s="72">
        <f t="shared" si="8"/>
        <v>197.7334445626461</v>
      </c>
      <c r="M33" s="158">
        <f t="shared" ref="M33" si="29">M32+0.5</f>
        <v>102.8</v>
      </c>
      <c r="N33" s="73">
        <f t="shared" si="8"/>
        <v>197.7334445626461</v>
      </c>
      <c r="O33" s="79">
        <f t="shared" si="17"/>
        <v>102.8</v>
      </c>
      <c r="Q33" s="151"/>
      <c r="R33" s="150"/>
      <c r="AB33" s="72">
        <f t="shared" si="0"/>
        <v>441.64296320003484</v>
      </c>
      <c r="AC33" s="152">
        <f t="shared" si="1"/>
        <v>40.669291338582674</v>
      </c>
      <c r="AD33" s="73">
        <f t="shared" si="2"/>
        <v>441.64296320003484</v>
      </c>
      <c r="AE33" s="154">
        <f t="shared" si="3"/>
        <v>40.669291338582674</v>
      </c>
      <c r="AF33" s="32"/>
    </row>
    <row r="34" spans="12:32" x14ac:dyDescent="0.3">
      <c r="L34" s="72">
        <f t="shared" si="8"/>
        <v>200.32587837172659</v>
      </c>
      <c r="M34" s="158">
        <v>103.3</v>
      </c>
      <c r="N34" s="73">
        <f t="shared" si="8"/>
        <v>200.32587837172659</v>
      </c>
      <c r="O34" s="79">
        <f t="shared" si="17"/>
        <v>103.3</v>
      </c>
      <c r="AB34" s="72">
        <f t="shared" si="0"/>
        <v>447.40803928425089</v>
      </c>
      <c r="AC34" s="152">
        <f t="shared" si="1"/>
        <v>40.866141732283467</v>
      </c>
      <c r="AD34" s="73">
        <f t="shared" si="2"/>
        <v>447.40803928425089</v>
      </c>
      <c r="AE34" s="154">
        <f t="shared" si="3"/>
        <v>40.866141732283467</v>
      </c>
      <c r="AF34" s="32"/>
    </row>
    <row r="35" spans="12:32" x14ac:dyDescent="0.3">
      <c r="L35" s="72">
        <f t="shared" si="8"/>
        <v>202.94087289599648</v>
      </c>
      <c r="M35" s="158">
        <f t="shared" ref="M35" si="30">M34+0.5</f>
        <v>103.8</v>
      </c>
      <c r="N35" s="73">
        <f t="shared" si="8"/>
        <v>202.94087289599648</v>
      </c>
      <c r="O35" s="79">
        <f t="shared" si="17"/>
        <v>103.8</v>
      </c>
      <c r="AB35" s="72">
        <f t="shared" si="0"/>
        <v>453.22306871770763</v>
      </c>
      <c r="AC35" s="152">
        <f t="shared" si="1"/>
        <v>41.062992125984259</v>
      </c>
      <c r="AD35" s="73">
        <f t="shared" si="2"/>
        <v>453.22306871770763</v>
      </c>
      <c r="AE35" s="154">
        <f t="shared" si="3"/>
        <v>41.062992125984259</v>
      </c>
    </row>
    <row r="36" spans="12:32" x14ac:dyDescent="0.3">
      <c r="L36" s="72">
        <f t="shared" si="8"/>
        <v>205.57852587833787</v>
      </c>
      <c r="M36" s="158">
        <v>104.3</v>
      </c>
      <c r="N36" s="73">
        <f t="shared" si="8"/>
        <v>205.57852587833787</v>
      </c>
      <c r="O36" s="79">
        <f t="shared" si="17"/>
        <v>104.3</v>
      </c>
      <c r="AB36" s="72">
        <f t="shared" si="0"/>
        <v>459.08826698657487</v>
      </c>
      <c r="AC36" s="152">
        <f t="shared" si="1"/>
        <v>41.259842519685037</v>
      </c>
      <c r="AD36" s="73">
        <f t="shared" si="2"/>
        <v>459.08826698657487</v>
      </c>
      <c r="AE36" s="154">
        <f t="shared" si="3"/>
        <v>41.259842519685037</v>
      </c>
    </row>
    <row r="37" spans="12:32" x14ac:dyDescent="0.3">
      <c r="L37" s="72">
        <f t="shared" si="8"/>
        <v>208.23893506163324</v>
      </c>
      <c r="M37" s="158">
        <f t="shared" ref="M37" si="31">M36+0.5</f>
        <v>104.8</v>
      </c>
      <c r="N37" s="73">
        <f t="shared" si="8"/>
        <v>208.23893506163324</v>
      </c>
      <c r="O37" s="79">
        <f t="shared" si="17"/>
        <v>104.8</v>
      </c>
      <c r="AB37" s="72">
        <f t="shared" ref="AB37:AB57" si="32">CONVERT(L38,"kg","lbm")</f>
        <v>465.0038495770213</v>
      </c>
      <c r="AC37" s="152">
        <f t="shared" ref="AC37:AC57" si="33">CONVERT(M38,"cm","in")</f>
        <v>41.456692913385822</v>
      </c>
      <c r="AD37" s="73">
        <f t="shared" ref="AD37:AD57" si="34">CONVERT(N38,"kg","lbm")</f>
        <v>465.0038495770213</v>
      </c>
      <c r="AE37" s="154">
        <f t="shared" ref="AE37:AE57" si="35">CONVERT(O38,"cm","in")</f>
        <v>41.456692913385822</v>
      </c>
    </row>
    <row r="38" spans="12:32" x14ac:dyDescent="0.3">
      <c r="L38" s="72">
        <f t="shared" si="8"/>
        <v>210.92219818876458</v>
      </c>
      <c r="M38" s="158">
        <v>105.3</v>
      </c>
      <c r="N38" s="73">
        <f t="shared" si="8"/>
        <v>210.92219818876458</v>
      </c>
      <c r="O38" s="79">
        <f t="shared" si="17"/>
        <v>105.3</v>
      </c>
      <c r="AB38" s="72">
        <f t="shared" si="32"/>
        <v>470.97003197521673</v>
      </c>
      <c r="AC38" s="152">
        <f t="shared" si="33"/>
        <v>41.653543307086615</v>
      </c>
      <c r="AD38" s="73">
        <f t="shared" si="34"/>
        <v>470.97003197521673</v>
      </c>
      <c r="AE38" s="154">
        <f t="shared" si="35"/>
        <v>41.653543307086615</v>
      </c>
    </row>
    <row r="39" spans="12:32" x14ac:dyDescent="0.3">
      <c r="L39" s="72">
        <f t="shared" si="8"/>
        <v>213.62841300261437</v>
      </c>
      <c r="M39" s="158">
        <f t="shared" ref="M39" si="36">M38+0.5</f>
        <v>105.8</v>
      </c>
      <c r="N39" s="73">
        <f t="shared" si="8"/>
        <v>213.62841300261437</v>
      </c>
      <c r="O39" s="79">
        <f t="shared" si="17"/>
        <v>105.8</v>
      </c>
      <c r="AB39" s="72">
        <f t="shared" si="32"/>
        <v>476.98702966733038</v>
      </c>
      <c r="AC39" s="152">
        <f t="shared" si="33"/>
        <v>41.8503937007874</v>
      </c>
      <c r="AD39" s="73">
        <f t="shared" si="34"/>
        <v>476.98702966733038</v>
      </c>
      <c r="AE39" s="154">
        <f t="shared" si="35"/>
        <v>41.8503937007874</v>
      </c>
    </row>
    <row r="40" spans="12:32" x14ac:dyDescent="0.3">
      <c r="L40" s="72">
        <f t="shared" si="8"/>
        <v>216.3576772460647</v>
      </c>
      <c r="M40" s="158">
        <v>106.3</v>
      </c>
      <c r="N40" s="73">
        <f t="shared" si="8"/>
        <v>216.3576772460647</v>
      </c>
      <c r="O40" s="79">
        <f t="shared" si="17"/>
        <v>106.3</v>
      </c>
      <c r="AB40" s="72">
        <f t="shared" si="32"/>
        <v>483.05505813953158</v>
      </c>
      <c r="AC40" s="152">
        <f t="shared" si="33"/>
        <v>42.047244094488185</v>
      </c>
      <c r="AD40" s="73">
        <f t="shared" si="34"/>
        <v>483.05505813953158</v>
      </c>
      <c r="AE40" s="154">
        <f t="shared" si="35"/>
        <v>42.047244094488185</v>
      </c>
    </row>
    <row r="41" spans="12:32" x14ac:dyDescent="0.3">
      <c r="L41" s="72">
        <f t="shared" si="8"/>
        <v>219.11008866199793</v>
      </c>
      <c r="M41" s="158">
        <f t="shared" ref="M41" si="37">M40+0.5</f>
        <v>106.8</v>
      </c>
      <c r="N41" s="73">
        <f t="shared" si="8"/>
        <v>219.11008866199793</v>
      </c>
      <c r="O41" s="79">
        <f t="shared" si="17"/>
        <v>106.8</v>
      </c>
      <c r="AB41" s="72">
        <f t="shared" si="32"/>
        <v>489.17433287798951</v>
      </c>
      <c r="AC41" s="152">
        <f t="shared" si="33"/>
        <v>42.244094488188978</v>
      </c>
      <c r="AD41" s="73">
        <f t="shared" si="34"/>
        <v>489.17433287798951</v>
      </c>
      <c r="AE41" s="154">
        <f t="shared" si="35"/>
        <v>42.244094488188978</v>
      </c>
    </row>
    <row r="42" spans="12:32" x14ac:dyDescent="0.3">
      <c r="L42" s="72">
        <f t="shared" si="8"/>
        <v>221.88574499329619</v>
      </c>
      <c r="M42" s="158">
        <v>107.3</v>
      </c>
      <c r="N42" s="73">
        <f t="shared" si="8"/>
        <v>221.88574499329619</v>
      </c>
      <c r="O42" s="79">
        <f t="shared" si="17"/>
        <v>107.3</v>
      </c>
      <c r="AB42" s="72">
        <f t="shared" si="32"/>
        <v>495.34506936887385</v>
      </c>
      <c r="AC42" s="152">
        <f t="shared" si="33"/>
        <v>42.440944881889763</v>
      </c>
      <c r="AD42" s="73">
        <f t="shared" si="34"/>
        <v>495.34506936887385</v>
      </c>
      <c r="AE42" s="154">
        <f t="shared" si="35"/>
        <v>42.440944881889763</v>
      </c>
    </row>
    <row r="43" spans="12:32" x14ac:dyDescent="0.3">
      <c r="L43" s="72">
        <f t="shared" si="8"/>
        <v>224.68474398284189</v>
      </c>
      <c r="M43" s="158">
        <f t="shared" ref="M43" si="38">M42+0.5</f>
        <v>107.8</v>
      </c>
      <c r="N43" s="73">
        <f t="shared" si="8"/>
        <v>224.68474398284189</v>
      </c>
      <c r="O43" s="79">
        <f t="shared" si="17"/>
        <v>107.8</v>
      </c>
      <c r="AB43" s="72">
        <f t="shared" si="32"/>
        <v>501.56748309835353</v>
      </c>
      <c r="AC43" s="152">
        <f t="shared" si="33"/>
        <v>42.637795275590555</v>
      </c>
      <c r="AD43" s="73">
        <f t="shared" si="34"/>
        <v>501.56748309835353</v>
      </c>
      <c r="AE43" s="154">
        <f t="shared" si="35"/>
        <v>42.637795275590555</v>
      </c>
    </row>
    <row r="44" spans="12:32" x14ac:dyDescent="0.3">
      <c r="L44" s="72">
        <f t="shared" si="8"/>
        <v>227.50718337351711</v>
      </c>
      <c r="M44" s="158">
        <v>108.3</v>
      </c>
      <c r="N44" s="73">
        <f t="shared" si="8"/>
        <v>227.50718337351711</v>
      </c>
      <c r="O44" s="79">
        <f t="shared" si="17"/>
        <v>108.3</v>
      </c>
      <c r="AB44" s="72">
        <f t="shared" si="32"/>
        <v>507.84178955259819</v>
      </c>
      <c r="AC44" s="152">
        <f t="shared" si="33"/>
        <v>42.834645669291341</v>
      </c>
      <c r="AD44" s="73">
        <f t="shared" si="34"/>
        <v>507.84178955259819</v>
      </c>
      <c r="AE44" s="154">
        <f t="shared" si="35"/>
        <v>42.834645669291341</v>
      </c>
    </row>
    <row r="45" spans="12:32" x14ac:dyDescent="0.3">
      <c r="L45" s="72">
        <f t="shared" si="8"/>
        <v>230.35316090820425</v>
      </c>
      <c r="M45" s="158">
        <f t="shared" ref="M45" si="39">M44+0.5</f>
        <v>108.8</v>
      </c>
      <c r="N45" s="73">
        <f t="shared" si="8"/>
        <v>230.35316090820425</v>
      </c>
      <c r="O45" s="79">
        <f t="shared" si="17"/>
        <v>108.8</v>
      </c>
      <c r="AB45" s="72">
        <f t="shared" si="32"/>
        <v>514.16820421777686</v>
      </c>
      <c r="AC45" s="152">
        <f t="shared" si="33"/>
        <v>43.031496062992126</v>
      </c>
      <c r="AD45" s="73">
        <f t="shared" si="34"/>
        <v>514.16820421777686</v>
      </c>
      <c r="AE45" s="154">
        <f t="shared" si="35"/>
        <v>43.031496062992126</v>
      </c>
    </row>
    <row r="46" spans="12:32" x14ac:dyDescent="0.3">
      <c r="L46" s="72">
        <f t="shared" si="8"/>
        <v>233.22277432978541</v>
      </c>
      <c r="M46" s="158">
        <v>109.3</v>
      </c>
      <c r="N46" s="73">
        <f t="shared" si="8"/>
        <v>233.22277432978541</v>
      </c>
      <c r="O46" s="79">
        <f t="shared" si="17"/>
        <v>109.3</v>
      </c>
      <c r="AB46" s="72">
        <f t="shared" si="32"/>
        <v>520.54694258005918</v>
      </c>
      <c r="AC46" s="152">
        <f t="shared" si="33"/>
        <v>43.228346456692918</v>
      </c>
      <c r="AD46" s="73">
        <f t="shared" si="34"/>
        <v>520.54694258005918</v>
      </c>
      <c r="AE46" s="154">
        <f t="shared" si="35"/>
        <v>43.228346456692918</v>
      </c>
    </row>
    <row r="47" spans="12:32" x14ac:dyDescent="0.3">
      <c r="L47" s="72">
        <f t="shared" si="8"/>
        <v>236.11612138114299</v>
      </c>
      <c r="M47" s="158">
        <f t="shared" ref="M47" si="40">M46+0.5</f>
        <v>109.8</v>
      </c>
      <c r="N47" s="73">
        <f t="shared" si="8"/>
        <v>236.11612138114299</v>
      </c>
      <c r="O47" s="79">
        <f t="shared" si="17"/>
        <v>109.8</v>
      </c>
      <c r="AB47" s="72">
        <f t="shared" si="32"/>
        <v>526.97822012561437</v>
      </c>
      <c r="AC47" s="152">
        <f t="shared" si="33"/>
        <v>43.425196850393704</v>
      </c>
      <c r="AD47" s="73">
        <f t="shared" si="34"/>
        <v>526.97822012561437</v>
      </c>
      <c r="AE47" s="154">
        <f t="shared" si="35"/>
        <v>43.425196850393704</v>
      </c>
    </row>
    <row r="48" spans="12:32" x14ac:dyDescent="0.3">
      <c r="L48" s="72">
        <f t="shared" si="8"/>
        <v>239.03329980515912</v>
      </c>
      <c r="M48" s="158">
        <v>110.3</v>
      </c>
      <c r="N48" s="73">
        <f t="shared" si="8"/>
        <v>239.03329980515912</v>
      </c>
      <c r="O48" s="79">
        <f t="shared" si="17"/>
        <v>110.3</v>
      </c>
      <c r="AB48" s="72">
        <f t="shared" si="32"/>
        <v>533.46225234061171</v>
      </c>
      <c r="AC48" s="152">
        <f t="shared" si="33"/>
        <v>43.622047244094496</v>
      </c>
      <c r="AD48" s="73">
        <f t="shared" si="34"/>
        <v>533.46225234061171</v>
      </c>
      <c r="AE48" s="154">
        <f t="shared" si="35"/>
        <v>43.622047244094496</v>
      </c>
    </row>
    <row r="49" spans="12:31" x14ac:dyDescent="0.3">
      <c r="L49" s="72">
        <f t="shared" si="8"/>
        <v>241.97440734471613</v>
      </c>
      <c r="M49" s="158">
        <f t="shared" ref="M49" si="41">M48+0.5</f>
        <v>110.8</v>
      </c>
      <c r="N49" s="73">
        <f t="shared" si="8"/>
        <v>241.97440734471613</v>
      </c>
      <c r="O49" s="79">
        <f t="shared" si="17"/>
        <v>110.8</v>
      </c>
      <c r="AB49" s="72">
        <f t="shared" si="32"/>
        <v>539.9992547112206</v>
      </c>
      <c r="AC49" s="152">
        <f t="shared" si="33"/>
        <v>43.818897637795274</v>
      </c>
      <c r="AD49" s="73">
        <f t="shared" si="34"/>
        <v>539.9992547112206</v>
      </c>
      <c r="AE49" s="154">
        <f t="shared" si="35"/>
        <v>43.818897637795274</v>
      </c>
    </row>
    <row r="50" spans="12:31" x14ac:dyDescent="0.3">
      <c r="L50" s="72">
        <f t="shared" si="8"/>
        <v>244.93954174269624</v>
      </c>
      <c r="M50" s="158">
        <v>111.3</v>
      </c>
      <c r="N50" s="73">
        <f t="shared" si="8"/>
        <v>244.93954174269624</v>
      </c>
      <c r="O50" s="79">
        <f t="shared" si="17"/>
        <v>111.3</v>
      </c>
      <c r="AB50" s="72">
        <f t="shared" si="32"/>
        <v>546.58944272361055</v>
      </c>
      <c r="AC50" s="152">
        <f t="shared" si="33"/>
        <v>44.015748031496059</v>
      </c>
      <c r="AD50" s="73">
        <f t="shared" si="34"/>
        <v>546.58944272361055</v>
      </c>
      <c r="AE50" s="154">
        <f t="shared" si="35"/>
        <v>44.015748031496059</v>
      </c>
    </row>
    <row r="51" spans="12:31" x14ac:dyDescent="0.3">
      <c r="L51" s="72">
        <f t="shared" si="8"/>
        <v>247.92880074198175</v>
      </c>
      <c r="M51" s="158">
        <f t="shared" ref="M51" si="42">M50+0.5</f>
        <v>111.8</v>
      </c>
      <c r="N51" s="73">
        <f t="shared" si="8"/>
        <v>247.92880074198175</v>
      </c>
      <c r="O51" s="79">
        <f t="shared" si="17"/>
        <v>111.8</v>
      </c>
      <c r="AB51" s="72">
        <f t="shared" si="32"/>
        <v>553.2330318639506</v>
      </c>
      <c r="AC51" s="152">
        <f t="shared" si="33"/>
        <v>44.212598425196852</v>
      </c>
      <c r="AD51" s="73">
        <f t="shared" si="34"/>
        <v>553.2330318639506</v>
      </c>
      <c r="AE51" s="154">
        <f t="shared" si="35"/>
        <v>44.212598425196852</v>
      </c>
    </row>
    <row r="52" spans="12:31" x14ac:dyDescent="0.3">
      <c r="L52" s="72">
        <f t="shared" si="8"/>
        <v>250.94228208545485</v>
      </c>
      <c r="M52" s="158">
        <v>112.3</v>
      </c>
      <c r="N52" s="73">
        <f t="shared" si="8"/>
        <v>250.94228208545485</v>
      </c>
      <c r="O52" s="79">
        <f t="shared" si="17"/>
        <v>112.3</v>
      </c>
      <c r="AB52" s="72">
        <f t="shared" si="32"/>
        <v>559.93023761840982</v>
      </c>
      <c r="AC52" s="152">
        <f t="shared" si="33"/>
        <v>44.409448818897637</v>
      </c>
      <c r="AD52" s="73">
        <f t="shared" si="34"/>
        <v>559.93023761840982</v>
      </c>
      <c r="AE52" s="154">
        <f t="shared" si="35"/>
        <v>44.409448818897637</v>
      </c>
    </row>
    <row r="53" spans="12:31" x14ac:dyDescent="0.3">
      <c r="L53" s="72">
        <f t="shared" si="8"/>
        <v>253.98008351599771</v>
      </c>
      <c r="M53" s="158">
        <f t="shared" ref="M53" si="43">M52+0.5</f>
        <v>112.8</v>
      </c>
      <c r="N53" s="73">
        <f t="shared" si="8"/>
        <v>253.98008351599771</v>
      </c>
      <c r="O53" s="79">
        <f t="shared" si="17"/>
        <v>112.8</v>
      </c>
      <c r="AB53" s="72">
        <f t="shared" si="32"/>
        <v>566.68127547315817</v>
      </c>
      <c r="AC53" s="152">
        <f t="shared" si="33"/>
        <v>44.606299212598422</v>
      </c>
      <c r="AD53" s="73">
        <f t="shared" si="34"/>
        <v>566.68127547315817</v>
      </c>
      <c r="AE53" s="154">
        <f t="shared" si="35"/>
        <v>44.606299212598422</v>
      </c>
    </row>
    <row r="54" spans="12:31" x14ac:dyDescent="0.3">
      <c r="L54" s="72">
        <f t="shared" si="8"/>
        <v>257.0423027764927</v>
      </c>
      <c r="M54" s="158">
        <v>113.3</v>
      </c>
      <c r="N54" s="73">
        <f t="shared" si="8"/>
        <v>257.0423027764927</v>
      </c>
      <c r="O54" s="79">
        <f t="shared" si="17"/>
        <v>113.3</v>
      </c>
      <c r="AB54" s="72">
        <f t="shared" si="32"/>
        <v>573.4863609143647</v>
      </c>
      <c r="AC54" s="152">
        <f t="shared" si="33"/>
        <v>44.803149606299215</v>
      </c>
      <c r="AD54" s="73">
        <f t="shared" si="34"/>
        <v>573.4863609143647</v>
      </c>
      <c r="AE54" s="154">
        <f t="shared" si="35"/>
        <v>44.803149606299215</v>
      </c>
    </row>
    <row r="55" spans="12:31" x14ac:dyDescent="0.3">
      <c r="L55" s="72">
        <f t="shared" si="8"/>
        <v>260.12903760982203</v>
      </c>
      <c r="M55" s="158">
        <f t="shared" ref="M55" si="44">M54+0.5</f>
        <v>113.8</v>
      </c>
      <c r="N55" s="73">
        <f t="shared" si="8"/>
        <v>260.12903760982203</v>
      </c>
      <c r="O55" s="79">
        <f t="shared" si="17"/>
        <v>113.8</v>
      </c>
      <c r="AB55" s="72">
        <f t="shared" si="32"/>
        <v>580.3457094281988</v>
      </c>
      <c r="AC55" s="152">
        <f t="shared" si="33"/>
        <v>45</v>
      </c>
      <c r="AD55" s="73">
        <f t="shared" si="34"/>
        <v>580.3457094281988</v>
      </c>
      <c r="AE55" s="154">
        <f t="shared" si="35"/>
        <v>45</v>
      </c>
    </row>
    <row r="56" spans="12:31" x14ac:dyDescent="0.3">
      <c r="L56" s="72">
        <f t="shared" si="8"/>
        <v>263.24038575886806</v>
      </c>
      <c r="M56" s="158">
        <v>114.3</v>
      </c>
      <c r="N56" s="73">
        <f t="shared" si="8"/>
        <v>263.24038575886806</v>
      </c>
      <c r="O56" s="79">
        <f t="shared" si="17"/>
        <v>114.3</v>
      </c>
      <c r="AB56" s="72">
        <f t="shared" si="32"/>
        <v>587.25953650082954</v>
      </c>
      <c r="AC56" s="152">
        <f t="shared" si="33"/>
        <v>45.196850393700792</v>
      </c>
      <c r="AD56" s="73">
        <f t="shared" si="34"/>
        <v>587.25953650082954</v>
      </c>
      <c r="AE56" s="154">
        <f t="shared" si="35"/>
        <v>45.196850393700792</v>
      </c>
    </row>
    <row r="57" spans="12:31" ht="15" thickBot="1" x14ac:dyDescent="0.35">
      <c r="L57" s="72">
        <f t="shared" si="8"/>
        <v>266.37644496651279</v>
      </c>
      <c r="M57" s="158">
        <f t="shared" ref="M57" si="45">M56+0.5</f>
        <v>114.8</v>
      </c>
      <c r="N57" s="73">
        <f t="shared" si="8"/>
        <v>266.37644496651279</v>
      </c>
      <c r="O57" s="79">
        <f t="shared" si="17"/>
        <v>114.8</v>
      </c>
      <c r="AB57" s="75">
        <f t="shared" si="32"/>
        <v>594.22805761842676</v>
      </c>
      <c r="AC57" s="153">
        <f t="shared" si="33"/>
        <v>45.393700787401578</v>
      </c>
      <c r="AD57" s="77">
        <f t="shared" si="34"/>
        <v>594.22805761842676</v>
      </c>
      <c r="AE57" s="155">
        <f t="shared" si="35"/>
        <v>45.393700787401578</v>
      </c>
    </row>
    <row r="58" spans="12:31" ht="15" thickBot="1" x14ac:dyDescent="0.35">
      <c r="L58" s="75">
        <f t="shared" si="8"/>
        <v>269.53731297563877</v>
      </c>
      <c r="M58" s="76">
        <v>115.3</v>
      </c>
      <c r="N58" s="77">
        <f t="shared" si="8"/>
        <v>269.53731297563877</v>
      </c>
      <c r="O58" s="80">
        <f t="shared" si="17"/>
        <v>115.3</v>
      </c>
      <c r="AB58" s="36"/>
      <c r="AC58" s="36"/>
    </row>
    <row r="59" spans="12:31" x14ac:dyDescent="0.3">
      <c r="L59" s="36"/>
      <c r="M59" s="33"/>
      <c r="AB59" s="36"/>
      <c r="AC59" s="36"/>
    </row>
  </sheetData>
  <mergeCells count="7">
    <mergeCell ref="Q4:T4"/>
    <mergeCell ref="L4:O4"/>
    <mergeCell ref="AB3:AE3"/>
    <mergeCell ref="F5:G5"/>
    <mergeCell ref="H5:I5"/>
    <mergeCell ref="V5:W5"/>
    <mergeCell ref="X5:Y5"/>
  </mergeCells>
  <pageMargins left="0.70000000000000007" right="0.70000000000000007" top="0.75" bottom="0.75" header="0.30000000000000004" footer="0.30000000000000004"/>
  <pageSetup paperSize="0" fitToWidth="0" fitToHeight="0" orientation="portrait" horizontalDpi="0" verticalDpi="0" copies="0"/>
  <ignoredErrors>
    <ignoredError sqref="AC5:AC5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9FAC1-0760-4C07-848C-9D979E8D56B4}">
  <sheetPr codeName="Sheet6">
    <tabColor rgb="FFFF0000"/>
  </sheetPr>
  <dimension ref="B1:V18"/>
  <sheetViews>
    <sheetView zoomScaleNormal="100" workbookViewId="0">
      <selection activeCell="D5" sqref="D5"/>
    </sheetView>
  </sheetViews>
  <sheetFormatPr defaultColWidth="8.88671875" defaultRowHeight="13.2" x14ac:dyDescent="0.25"/>
  <cols>
    <col min="1" max="1" width="2.6640625" style="5" customWidth="1"/>
    <col min="2" max="2" width="6.88671875" style="5" customWidth="1"/>
    <col min="3" max="3" width="19.109375" style="5" customWidth="1"/>
    <col min="4" max="4" width="12.33203125" style="5" bestFit="1" customWidth="1"/>
    <col min="5" max="5" width="6.6640625" style="5" customWidth="1"/>
    <col min="6" max="6" width="4" style="5" hidden="1" customWidth="1"/>
    <col min="7" max="7" width="12.33203125" style="5" bestFit="1" customWidth="1"/>
    <col min="8" max="8" width="11.88671875" style="5" customWidth="1"/>
    <col min="9" max="9" width="4" style="5" hidden="1" customWidth="1"/>
    <col min="10" max="10" width="6.6640625" style="5" bestFit="1" customWidth="1"/>
    <col min="11" max="11" width="6" style="5" bestFit="1" customWidth="1"/>
    <col min="12" max="12" width="7.33203125" style="5" bestFit="1" customWidth="1"/>
    <col min="13" max="13" width="8" style="5" bestFit="1" customWidth="1"/>
    <col min="14" max="14" width="8.88671875" style="5"/>
    <col min="15" max="15" width="9" style="5" bestFit="1" customWidth="1"/>
    <col min="16" max="16" width="9.5546875" style="5" bestFit="1" customWidth="1"/>
    <col min="17" max="17" width="9.5546875" style="5" hidden="1" customWidth="1"/>
    <col min="18" max="20" width="0" style="5" hidden="1" customWidth="1"/>
    <col min="21" max="16384" width="8.88671875" style="5"/>
  </cols>
  <sheetData>
    <row r="1" spans="2:22" ht="10.199999999999999" customHeight="1" thickBot="1" x14ac:dyDescent="0.3">
      <c r="B1" s="4"/>
      <c r="C1" s="4"/>
      <c r="D1" s="4"/>
      <c r="E1" s="4"/>
      <c r="F1" s="4"/>
      <c r="G1" s="4"/>
      <c r="H1" s="4"/>
      <c r="I1" s="4"/>
      <c r="J1" s="4"/>
      <c r="K1" s="4"/>
      <c r="L1" s="4"/>
      <c r="M1" s="4"/>
    </row>
    <row r="2" spans="2:22" ht="32.4" customHeight="1" x14ac:dyDescent="0.25">
      <c r="B2" s="177" t="s">
        <v>15</v>
      </c>
      <c r="C2" s="178"/>
      <c r="D2" s="178"/>
      <c r="E2" s="178"/>
      <c r="F2" s="178"/>
      <c r="G2" s="178"/>
      <c r="H2" s="178"/>
      <c r="I2" s="178"/>
      <c r="J2" s="178"/>
      <c r="K2" s="178"/>
      <c r="L2" s="178"/>
      <c r="M2" s="179"/>
    </row>
    <row r="3" spans="2:22" ht="18" thickBot="1" x14ac:dyDescent="0.3">
      <c r="B3" s="180" t="s">
        <v>16</v>
      </c>
      <c r="C3" s="181"/>
      <c r="D3" s="181"/>
      <c r="E3" s="181"/>
      <c r="F3" s="181"/>
      <c r="G3" s="181"/>
      <c r="H3" s="181"/>
      <c r="I3" s="181"/>
      <c r="J3" s="181"/>
      <c r="K3" s="181"/>
      <c r="L3" s="181"/>
      <c r="M3" s="182"/>
    </row>
    <row r="4" spans="2:22" ht="9" customHeight="1" thickBot="1" x14ac:dyDescent="0.3">
      <c r="B4" s="4"/>
      <c r="C4" s="4"/>
      <c r="D4" s="4"/>
      <c r="E4" s="4"/>
      <c r="F4" s="4"/>
      <c r="G4" s="4"/>
      <c r="H4" s="4"/>
      <c r="I4" s="4"/>
      <c r="J4" s="4"/>
      <c r="K4" s="4"/>
      <c r="L4" s="4"/>
      <c r="M4" s="4"/>
    </row>
    <row r="5" spans="2:22" ht="13.8" thickBot="1" x14ac:dyDescent="0.3">
      <c r="B5" s="183" t="s">
        <v>17</v>
      </c>
      <c r="C5" s="184"/>
      <c r="D5" s="6">
        <f>'Maternal lines'!C7</f>
        <v>3230</v>
      </c>
      <c r="E5" s="7"/>
      <c r="F5" s="7"/>
      <c r="G5" s="7"/>
      <c r="H5" s="7"/>
      <c r="I5" s="7"/>
      <c r="J5" s="7"/>
      <c r="K5" s="7"/>
      <c r="L5" s="7"/>
      <c r="M5" s="7"/>
    </row>
    <row r="6" spans="2:22" ht="36" customHeight="1" thickBot="1" x14ac:dyDescent="0.3">
      <c r="B6" s="4"/>
      <c r="C6" s="4"/>
      <c r="D6" s="4"/>
      <c r="E6" s="4"/>
      <c r="F6" s="4"/>
      <c r="G6" s="4"/>
      <c r="H6" s="4"/>
      <c r="I6" s="4"/>
      <c r="J6" s="185" t="s">
        <v>18</v>
      </c>
      <c r="K6" s="186"/>
      <c r="L6" s="187" t="s">
        <v>19</v>
      </c>
      <c r="M6" s="187"/>
    </row>
    <row r="7" spans="2:22" ht="44.4" customHeight="1" x14ac:dyDescent="0.25">
      <c r="B7" s="9" t="s">
        <v>20</v>
      </c>
      <c r="C7" s="10" t="s">
        <v>21</v>
      </c>
      <c r="D7" s="11" t="s">
        <v>22</v>
      </c>
      <c r="E7" s="11" t="s">
        <v>23</v>
      </c>
      <c r="F7" s="12"/>
      <c r="G7" s="11" t="s">
        <v>24</v>
      </c>
      <c r="H7" s="12" t="s">
        <v>25</v>
      </c>
      <c r="I7" s="12"/>
      <c r="J7" s="13" t="s">
        <v>26</v>
      </c>
      <c r="K7" s="13" t="s">
        <v>27</v>
      </c>
      <c r="L7" s="13" t="s">
        <v>26</v>
      </c>
      <c r="M7" s="13" t="s">
        <v>27</v>
      </c>
    </row>
    <row r="8" spans="2:22" x14ac:dyDescent="0.25">
      <c r="B8" s="14" t="s">
        <v>28</v>
      </c>
      <c r="C8" s="15">
        <v>0.19500000000000001</v>
      </c>
      <c r="D8" s="16">
        <f>'Maternal lines'!C46</f>
        <v>145</v>
      </c>
      <c r="E8" s="17">
        <f>((0.5357*($T8^2))-(8.8929*$T8)+35.857)</f>
        <v>27.4998</v>
      </c>
      <c r="F8" s="17">
        <f t="shared" ref="F8:F14" si="0">$D$15</f>
        <v>190.28586699999997</v>
      </c>
      <c r="G8" s="16">
        <f>D8</f>
        <v>145</v>
      </c>
      <c r="H8" s="17">
        <f t="shared" ref="H8:H14" si="1">IF($G$8&gt;150,((0.4286*($T8^2))-(8.1143*$T8)+33.4),((0.5357*($T8^2))-(8.8929*$T8)+35.857))</f>
        <v>27.4998</v>
      </c>
      <c r="I8" s="17">
        <f t="shared" ref="I8:I14" si="2">$G$15</f>
        <v>190.28586699999997</v>
      </c>
      <c r="J8" s="17">
        <f>100*D8^0.75</f>
        <v>4178.5538334750245</v>
      </c>
      <c r="K8" s="17">
        <f>100*G8^0.75</f>
        <v>4178.5538334750245</v>
      </c>
      <c r="L8" s="28">
        <f>'Maternal lines'!$D$14/(J8/$D$5)</f>
        <v>1.411971757485619</v>
      </c>
      <c r="M8" s="28">
        <f>'Maternal lines'!$D$14/(K8/$D$5)</f>
        <v>1.411971757485619</v>
      </c>
      <c r="T8" s="5">
        <v>1</v>
      </c>
    </row>
    <row r="9" spans="2:22" x14ac:dyDescent="0.25">
      <c r="B9" s="14" t="s">
        <v>29</v>
      </c>
      <c r="C9" s="15">
        <v>0.17499999999999999</v>
      </c>
      <c r="D9" s="17">
        <f t="shared" ref="D9:D14" si="3">D8+E8</f>
        <v>172.49979999999999</v>
      </c>
      <c r="E9" s="17">
        <f>(0.5357*($T9^2))-(8.8929*$T9)+35.857</f>
        <v>20.213999999999999</v>
      </c>
      <c r="F9" s="17">
        <f t="shared" si="0"/>
        <v>190.28586699999997</v>
      </c>
      <c r="G9" s="17">
        <f>(G8+H8)</f>
        <v>172.49979999999999</v>
      </c>
      <c r="H9" s="17">
        <f t="shared" si="1"/>
        <v>20.213999999999999</v>
      </c>
      <c r="I9" s="17">
        <f t="shared" si="2"/>
        <v>190.28586699999997</v>
      </c>
      <c r="J9" s="17">
        <f t="shared" ref="J9:J14" si="4">100*D9^0.75</f>
        <v>4759.8300546140481</v>
      </c>
      <c r="K9" s="17">
        <f t="shared" ref="K9:K14" si="5">100*G9^0.75</f>
        <v>4759.8300546140481</v>
      </c>
      <c r="L9" s="28">
        <f>'Maternal lines'!$D$14/(J9/$D$5)</f>
        <v>1.2395400533850369</v>
      </c>
      <c r="M9" s="28">
        <f>'Maternal lines'!$D$15/(K9/$D$5)</f>
        <v>1.0294485189129969</v>
      </c>
      <c r="O9" s="93">
        <f>C9/(SUM($C$9:$C$14))</f>
        <v>0.21739130434782608</v>
      </c>
      <c r="P9" s="8"/>
      <c r="T9" s="5">
        <v>2</v>
      </c>
      <c r="V9" s="18"/>
    </row>
    <row r="10" spans="2:22" x14ac:dyDescent="0.25">
      <c r="B10" s="14" t="s">
        <v>30</v>
      </c>
      <c r="C10" s="15">
        <v>0.16500000000000001</v>
      </c>
      <c r="D10" s="17">
        <f t="shared" si="3"/>
        <v>192.71379999999999</v>
      </c>
      <c r="E10" s="17">
        <f t="shared" ref="E10:E14" si="6">(0.5357*($T10^2))-(8.8929*$T10)+35.857</f>
        <v>13.999600000000001</v>
      </c>
      <c r="F10" s="17">
        <f t="shared" si="0"/>
        <v>190.28586699999997</v>
      </c>
      <c r="G10" s="17">
        <f t="shared" ref="G10:G14" si="7">(G9+H9)</f>
        <v>192.71379999999999</v>
      </c>
      <c r="H10" s="17">
        <f t="shared" si="1"/>
        <v>13.999600000000001</v>
      </c>
      <c r="I10" s="17">
        <f t="shared" si="2"/>
        <v>190.28586699999997</v>
      </c>
      <c r="J10" s="17">
        <f t="shared" si="4"/>
        <v>5172.310775003597</v>
      </c>
      <c r="K10" s="17">
        <f t="shared" si="5"/>
        <v>5172.310775003597</v>
      </c>
      <c r="L10" s="28">
        <f>'Maternal lines'!$D$14/(J10/$D$5)</f>
        <v>1.1406893855862514</v>
      </c>
      <c r="M10" s="28">
        <f>'Maternal lines'!$D$15/(K10/$D$5)</f>
        <v>0.94735220158858169</v>
      </c>
      <c r="O10" s="93">
        <f t="shared" ref="O10:O14" si="8">C10/(SUM($C$9:$C$14))</f>
        <v>0.20496894409937891</v>
      </c>
      <c r="T10" s="5">
        <v>3</v>
      </c>
      <c r="V10" s="5" t="s">
        <v>79</v>
      </c>
    </row>
    <row r="11" spans="2:22" x14ac:dyDescent="0.25">
      <c r="B11" s="14" t="s">
        <v>31</v>
      </c>
      <c r="C11" s="15">
        <v>0.14499999999999999</v>
      </c>
      <c r="D11" s="17">
        <f t="shared" si="3"/>
        <v>206.71339999999998</v>
      </c>
      <c r="E11" s="17">
        <f t="shared" si="6"/>
        <v>8.8566000000000003</v>
      </c>
      <c r="F11" s="17">
        <f t="shared" si="0"/>
        <v>190.28586699999997</v>
      </c>
      <c r="G11" s="17">
        <f t="shared" si="7"/>
        <v>206.71339999999998</v>
      </c>
      <c r="H11" s="17">
        <f t="shared" si="1"/>
        <v>8.8566000000000003</v>
      </c>
      <c r="I11" s="17">
        <f t="shared" si="2"/>
        <v>190.28586699999997</v>
      </c>
      <c r="J11" s="17">
        <f t="shared" si="4"/>
        <v>5451.6312544651701</v>
      </c>
      <c r="K11" s="17">
        <f t="shared" si="5"/>
        <v>5451.6312544651701</v>
      </c>
      <c r="L11" s="28">
        <f>'Maternal lines'!$D$14/(J11/$D$5)</f>
        <v>1.08224487765338</v>
      </c>
      <c r="M11" s="28">
        <f>'Maternal lines'!$D$15/(K11/$D$5)</f>
        <v>0.89881354245789191</v>
      </c>
      <c r="O11" s="93">
        <f t="shared" si="8"/>
        <v>0.18012422360248448</v>
      </c>
      <c r="T11" s="5">
        <v>4</v>
      </c>
    </row>
    <row r="12" spans="2:22" x14ac:dyDescent="0.25">
      <c r="B12" s="14" t="s">
        <v>32</v>
      </c>
      <c r="C12" s="15">
        <v>0.13</v>
      </c>
      <c r="D12" s="17">
        <f t="shared" si="3"/>
        <v>215.57</v>
      </c>
      <c r="E12" s="17">
        <f t="shared" si="6"/>
        <v>4.7850000000000037</v>
      </c>
      <c r="F12" s="17">
        <f t="shared" si="0"/>
        <v>190.28586699999997</v>
      </c>
      <c r="G12" s="17">
        <f t="shared" si="7"/>
        <v>215.57</v>
      </c>
      <c r="H12" s="17">
        <f t="shared" si="1"/>
        <v>4.7850000000000037</v>
      </c>
      <c r="I12" s="17">
        <f t="shared" si="2"/>
        <v>190.28586699999997</v>
      </c>
      <c r="J12" s="17">
        <f t="shared" si="4"/>
        <v>5625.8900635616992</v>
      </c>
      <c r="K12" s="17">
        <f t="shared" si="5"/>
        <v>5625.8900635616992</v>
      </c>
      <c r="L12" s="28">
        <f>'Maternal lines'!$D$14/(J12/$D$5)</f>
        <v>1.0487229457634948</v>
      </c>
      <c r="M12" s="28">
        <f>'Maternal lines'!$D$15/(K12/$D$5)</f>
        <v>0.87097329393917367</v>
      </c>
      <c r="O12" s="93">
        <f t="shared" si="8"/>
        <v>0.16149068322981369</v>
      </c>
      <c r="T12" s="5">
        <v>5</v>
      </c>
    </row>
    <row r="13" spans="2:22" x14ac:dyDescent="0.25">
      <c r="B13" s="14" t="s">
        <v>33</v>
      </c>
      <c r="C13" s="15">
        <v>0.1</v>
      </c>
      <c r="D13" s="17">
        <f t="shared" si="3"/>
        <v>220.35499999999999</v>
      </c>
      <c r="E13" s="17">
        <f t="shared" si="6"/>
        <v>1.7848000000000042</v>
      </c>
      <c r="F13" s="17">
        <f t="shared" si="0"/>
        <v>190.28586699999997</v>
      </c>
      <c r="G13" s="17">
        <f t="shared" si="7"/>
        <v>220.35499999999999</v>
      </c>
      <c r="H13" s="17">
        <f t="shared" si="1"/>
        <v>1.7848000000000042</v>
      </c>
      <c r="I13" s="17">
        <f t="shared" si="2"/>
        <v>190.28586699999997</v>
      </c>
      <c r="J13" s="17">
        <f t="shared" si="4"/>
        <v>5719.2908398514546</v>
      </c>
      <c r="K13" s="17">
        <f t="shared" si="5"/>
        <v>5719.2908398514546</v>
      </c>
      <c r="L13" s="28">
        <f>'Maternal lines'!$D$14/(J13/$D$5)</f>
        <v>1.031596427810487</v>
      </c>
      <c r="M13" s="28">
        <f>'Maternal lines'!$D$15/(K13/$D$5)</f>
        <v>0.85674957563921805</v>
      </c>
      <c r="O13" s="93">
        <f t="shared" si="8"/>
        <v>0.12422360248447206</v>
      </c>
      <c r="T13" s="5">
        <v>6</v>
      </c>
    </row>
    <row r="14" spans="2:22" ht="13.8" thickBot="1" x14ac:dyDescent="0.3">
      <c r="B14" s="19" t="s">
        <v>34</v>
      </c>
      <c r="C14" s="20">
        <v>8.9999999999999969E-2</v>
      </c>
      <c r="D14" s="21">
        <f t="shared" si="3"/>
        <v>222.13979999999998</v>
      </c>
      <c r="E14" s="21">
        <f t="shared" si="6"/>
        <v>-0.14399999999999835</v>
      </c>
      <c r="F14" s="21">
        <f t="shared" si="0"/>
        <v>190.28586699999997</v>
      </c>
      <c r="G14" s="21">
        <f t="shared" si="7"/>
        <v>222.13979999999998</v>
      </c>
      <c r="H14" s="21">
        <f t="shared" si="1"/>
        <v>-0.14399999999999835</v>
      </c>
      <c r="I14" s="21">
        <f t="shared" si="2"/>
        <v>190.28586699999997</v>
      </c>
      <c r="J14" s="17">
        <f t="shared" si="4"/>
        <v>5753.9990041592318</v>
      </c>
      <c r="K14" s="17">
        <f t="shared" si="5"/>
        <v>5753.9990041592318</v>
      </c>
      <c r="L14" s="28">
        <f>'Maternal lines'!$D$14/(J14/$D$5)</f>
        <v>1.0253738305716136</v>
      </c>
      <c r="M14" s="28">
        <f>'Maternal lines'!$D$15/(K14/$D$5)</f>
        <v>0.85158165589845869</v>
      </c>
      <c r="O14" s="93">
        <f t="shared" si="8"/>
        <v>0.11180124223602482</v>
      </c>
      <c r="T14" s="5">
        <v>7</v>
      </c>
    </row>
    <row r="15" spans="2:22" ht="13.8" thickBot="1" x14ac:dyDescent="0.3">
      <c r="B15" s="22"/>
      <c r="C15" s="23" t="s">
        <v>35</v>
      </c>
      <c r="D15" s="24">
        <f>SUMPRODUCT($C$8:$C$14,D8:D14)</f>
        <v>190.28586699999997</v>
      </c>
      <c r="E15" s="24">
        <f>SUMPRODUCT($C$8:$C$14,E8:E14)</f>
        <v>13.281622</v>
      </c>
      <c r="F15" s="25"/>
      <c r="G15" s="24">
        <f>SUMPRODUCT($C$8:$C$14,G8:G14)</f>
        <v>190.28586699999997</v>
      </c>
      <c r="H15" s="24">
        <f>SUMPRODUCT($C$8:$C$14,H8:H14)</f>
        <v>13.281622</v>
      </c>
      <c r="I15" s="25"/>
      <c r="J15" s="25"/>
      <c r="K15" s="25"/>
      <c r="L15" s="29">
        <f>SUMPRODUCT($C$8:$C$14,L8:L14)</f>
        <v>1.1691705284152969</v>
      </c>
      <c r="M15" s="30">
        <f>SUMPRODUCT($C$9:$C$14,M9:M14)/(100%-C8)</f>
        <v>0.92215950625485776</v>
      </c>
      <c r="Q15" s="8">
        <f>21*Q17</f>
        <v>52.749294611520199</v>
      </c>
      <c r="R15" s="8">
        <f>365-Q15</f>
        <v>312.25070538847979</v>
      </c>
      <c r="S15" s="8">
        <f>SUM(Q15:R15)</f>
        <v>365</v>
      </c>
    </row>
    <row r="16" spans="2:22" ht="10.95" customHeight="1" x14ac:dyDescent="0.3">
      <c r="G16" s="8"/>
      <c r="H16" s="8"/>
      <c r="Q16" s="26">
        <f>Q15/$S$15</f>
        <v>0.14451861537402794</v>
      </c>
      <c r="R16" s="26">
        <f>R15/$S$15</f>
        <v>0.85548138462597201</v>
      </c>
      <c r="S16" s="8"/>
    </row>
    <row r="17" spans="7:17" x14ac:dyDescent="0.25">
      <c r="G17" s="8"/>
      <c r="H17" s="8"/>
      <c r="Q17" s="27">
        <f>365/(((21+115+7)*0.89)+(((21+21+115+7)*0.11)))</f>
        <v>2.5118711719771523</v>
      </c>
    </row>
    <row r="18" spans="7:17" x14ac:dyDescent="0.25">
      <c r="G18" s="8"/>
      <c r="H18" s="8"/>
      <c r="M18" s="8"/>
    </row>
  </sheetData>
  <mergeCells count="5">
    <mergeCell ref="B2:M2"/>
    <mergeCell ref="B3:M3"/>
    <mergeCell ref="B5:C5"/>
    <mergeCell ref="J6:K6"/>
    <mergeCell ref="L6:M6"/>
  </mergeCells>
  <dataValidations count="2">
    <dataValidation type="decimal" allowBlank="1" showInputMessage="1" showErrorMessage="1" errorTitle="Normal" error="&gt;135 kg_x000a_&lt;150 kg" promptTitle="Normal Gilts" prompt="Normal &gt;135 to 150kg" sqref="D8" xr:uid="{705B5B8B-20AE-4466-B31E-F020A58FA6EE}">
      <formula1>135</formula1>
      <formula2>200</formula2>
    </dataValidation>
    <dataValidation type="whole" operator="greaterThanOrEqual" allowBlank="1" showInputMessage="1" showErrorMessage="1" errorTitle="FAT" error="Please considere &gt;150kg" promptTitle="FAT GILTS" prompt="Fat gilts are considered over than 150kg" sqref="G8" xr:uid="{AFD60308-EA18-4729-9A11-5B83DCB00916}">
      <formula1>150</formula1>
    </dataValidation>
  </dataValidations>
  <pageMargins left="0.78740157499999996" right="0.78740157499999996" top="0.984251969" bottom="0.984251969" header="0.49212598499999999" footer="0.49212598499999999"/>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vt:lpstr>
      <vt:lpstr>Maternal lines</vt:lpstr>
      <vt:lpstr>FFM</vt:lpstr>
      <vt:lpstr>Terminal lines</vt:lpstr>
      <vt:lpstr>I. Herd Sire (metric)</vt:lpstr>
      <vt:lpstr>FFS</vt:lpstr>
      <vt:lpstr>II. Herd Maternal (metric)</vt:lpstr>
      <vt:lpstr>Instruction!Print_Area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uorlando</dc:creator>
  <cp:lastModifiedBy>Ron Aldwin Navales</cp:lastModifiedBy>
  <cp:lastPrinted>2020-08-25T10:02:15Z</cp:lastPrinted>
  <dcterms:created xsi:type="dcterms:W3CDTF">2020-06-04T15:40:37Z</dcterms:created>
  <dcterms:modified xsi:type="dcterms:W3CDTF">2021-04-27T08:20:47Z</dcterms:modified>
</cp:coreProperties>
</file>