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gif" ContentType="image/gi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style1.xml" ContentType="application/vnd.ms-office.chartstyle+xml"/>
  <Override PartName="/xl/charts/colors1.xml" ContentType="application/vnd.ms-office.chartcolorstyl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7729"/>
  <workbookPr showInkAnnotation="0" codeName="ThisWorkbook" autoCompressPictures="0"/>
  <bookViews>
    <workbookView xWindow="480" yWindow="1100" windowWidth="19200" windowHeight="11500"/>
  </bookViews>
  <sheets>
    <sheet name="Instructions" sheetId="2" r:id="rId1"/>
    <sheet name="Inputs - Metric" sheetId="41" r:id="rId2"/>
    <sheet name="Fixed_Weight" sheetId="30" r:id="rId3"/>
    <sheet name="Fixed_Time" sheetId="32" r:id="rId4"/>
    <sheet name="Fixed_Weight_Validations" sheetId="37" state="hidden" r:id="rId5"/>
    <sheet name="CalculationsCurrent" sheetId="31" state="hidden" r:id="rId6"/>
    <sheet name="GrowthCurveAdjustments" sheetId="27" state="hidden" r:id="rId7"/>
    <sheet name="Outputs" sheetId="29" r:id="rId8"/>
    <sheet name="Installing_Solver" sheetId="38" r:id="rId9"/>
    <sheet name="Inputs" sheetId="15" state="hidden" r:id="rId10"/>
  </sheets>
  <externalReferences>
    <externalReference r:id="rId11"/>
  </externalReferences>
  <definedNames>
    <definedName name="ADFperBW" localSheetId="5">CalculationsCurrent!$O$5:$R$226</definedName>
    <definedName name="ADFperBW" localSheetId="3">Fixed_Time!$O$5:$R$211</definedName>
    <definedName name="ADFperBW" localSheetId="2">Fixed_Weight!#REF!</definedName>
    <definedName name="ADFperBW" localSheetId="4">Fixed_Weight_Validations!$AN$4:$AQ$227</definedName>
    <definedName name="ADFperBW" localSheetId="1">#REF!</definedName>
    <definedName name="ADFperBW" localSheetId="7">Outputs!$K$9:$K$231</definedName>
    <definedName name="ADFperBW">#REF!</definedName>
    <definedName name="CumWtPerDay" localSheetId="5">CalculationsCurrent!#REF!</definedName>
    <definedName name="CumWtPerDay" localSheetId="3">Fixed_Time!#REF!</definedName>
    <definedName name="CumWtPerDay" localSheetId="2">Fixed_Weight!#REF!</definedName>
    <definedName name="CumWtPerDay" localSheetId="4">Fixed_Weight_Validations!#REF!</definedName>
    <definedName name="CumWtPerDay" localSheetId="1">#REF!</definedName>
    <definedName name="CumWtPerDay" localSheetId="7">Outputs!#REF!</definedName>
    <definedName name="CumWtPerDay">#REF!</definedName>
    <definedName name="Drug_costs_per_gram">'[1]Feed drugs'!$A$2:$J$19</definedName>
    <definedName name="EnergyCalculator" localSheetId="5">#REF!</definedName>
    <definedName name="EnergyCalculator" localSheetId="3">#REF!</definedName>
    <definedName name="EnergyCalculator" localSheetId="2">#REF!</definedName>
    <definedName name="EnergyCalculator" localSheetId="4">#REF!</definedName>
    <definedName name="EnergyCalculator" localSheetId="1">#REF!</definedName>
    <definedName name="EnergyCalculator" localSheetId="7">#REF!</definedName>
    <definedName name="EnergyCalculator">#REF!</definedName>
    <definedName name="Marketing" localSheetId="4">Inputs!#REF!</definedName>
    <definedName name="Marketing" localSheetId="1">'Inputs - Metric'!#REF!</definedName>
    <definedName name="Marketing">Inputs!#REF!</definedName>
    <definedName name="PayFeed" localSheetId="5">#REF!</definedName>
    <definedName name="PayFeed" localSheetId="3">#REF!</definedName>
    <definedName name="PayFeed" localSheetId="2">#REF!</definedName>
    <definedName name="PayFeed" localSheetId="4">#REF!</definedName>
    <definedName name="PayFeed" localSheetId="1">#REF!</definedName>
    <definedName name="PayFeed" localSheetId="7">#REF!</definedName>
    <definedName name="PayFeed">#REF!</definedName>
    <definedName name="PayGain" localSheetId="5">#REF!</definedName>
    <definedName name="PayGain" localSheetId="3">#REF!</definedName>
    <definedName name="PayGain" localSheetId="2">#REF!</definedName>
    <definedName name="PayGain" localSheetId="4">#REF!</definedName>
    <definedName name="PayGain" localSheetId="1">#REF!</definedName>
    <definedName name="PayGain" localSheetId="7">#REF!</definedName>
    <definedName name="PayGain">#REF!</definedName>
    <definedName name="_xlnm.Print_Area" localSheetId="5">CalculationsCurrent!$A$1:$L$33</definedName>
    <definedName name="_xlnm.Print_Area" localSheetId="3">Fixed_Time!$A$1:$M$44</definedName>
    <definedName name="_xlnm.Print_Area" localSheetId="2">Fixed_Weight!$A$1:$M$45</definedName>
    <definedName name="_xlnm.Print_Area" localSheetId="4">Fixed_Weight_Validations!$A$1:$AL$40</definedName>
    <definedName name="_xlnm.Print_Area" localSheetId="9">Inputs!$D$1:$Q$51</definedName>
    <definedName name="_xlnm.Print_Area" localSheetId="1">'Inputs - Metric'!$D$1:$Q$51</definedName>
    <definedName name="_xlnm.Print_Area" localSheetId="0">Instructions!$A$1:$O$37</definedName>
    <definedName name="_xlnm.Print_Area" localSheetId="7">Outputs!$A$1:$M$28</definedName>
    <definedName name="solver_adj" localSheetId="5" hidden="1">CalculationsCurrent!$B$9:$G$9</definedName>
    <definedName name="solver_adj" localSheetId="3" hidden="1">Fixed_Time!$B$9:$G$9</definedName>
    <definedName name="solver_adj" localSheetId="2" hidden="1">Fixed_Weight!$B$9:$G$9</definedName>
    <definedName name="solver_adj" localSheetId="4" hidden="1">Fixed_Weight_Validations!$B$6:$AF$6</definedName>
    <definedName name="solver_adj" localSheetId="7" hidden="1">Outputs!$B$11:$E$11</definedName>
    <definedName name="solver_cvg" localSheetId="5" hidden="1">0.00001</definedName>
    <definedName name="solver_cvg" localSheetId="3" hidden="1">0.0001</definedName>
    <definedName name="solver_cvg" localSheetId="2" hidden="1">0.0001</definedName>
    <definedName name="solver_cvg" localSheetId="4" hidden="1">0.001</definedName>
    <definedName name="solver_cvg" localSheetId="7" hidden="1">0.00001</definedName>
    <definedName name="solver_drv" localSheetId="5" hidden="1">1</definedName>
    <definedName name="solver_drv" localSheetId="3" hidden="1">1</definedName>
    <definedName name="solver_drv" localSheetId="2" hidden="1">1</definedName>
    <definedName name="solver_drv" localSheetId="4" hidden="1">1</definedName>
    <definedName name="solver_drv" localSheetId="7" hidden="1">1</definedName>
    <definedName name="solver_eng" localSheetId="5" hidden="1">1</definedName>
    <definedName name="solver_eng" localSheetId="3" hidden="1">1</definedName>
    <definedName name="solver_eng" localSheetId="2" hidden="1">1</definedName>
    <definedName name="solver_eng" localSheetId="4" hidden="1">1</definedName>
    <definedName name="solver_eng" localSheetId="9" hidden="1">1</definedName>
    <definedName name="solver_eng" localSheetId="1" hidden="1">1</definedName>
    <definedName name="solver_eng" localSheetId="0" hidden="1">1</definedName>
    <definedName name="solver_eng" localSheetId="7" hidden="1">1</definedName>
    <definedName name="solver_est" localSheetId="5" hidden="1">1</definedName>
    <definedName name="solver_est" localSheetId="3" hidden="1">1</definedName>
    <definedName name="solver_est" localSheetId="2" hidden="1">1</definedName>
    <definedName name="solver_est" localSheetId="4" hidden="1">1</definedName>
    <definedName name="solver_est" localSheetId="7" hidden="1">1</definedName>
    <definedName name="solver_itr" localSheetId="5" hidden="1">2147483647</definedName>
    <definedName name="solver_itr" localSheetId="3" hidden="1">100</definedName>
    <definedName name="solver_itr" localSheetId="2" hidden="1">100</definedName>
    <definedName name="solver_itr" localSheetId="4" hidden="1">2147483647</definedName>
    <definedName name="solver_itr" localSheetId="7" hidden="1">2147483647</definedName>
    <definedName name="solver_lhs0" localSheetId="5" hidden="1">CalculationsCurrent!$B$9:$G$9</definedName>
    <definedName name="solver_lhs0" localSheetId="3" hidden="1">Fixed_Time!$B$9:$G$9</definedName>
    <definedName name="solver_lhs0" localSheetId="2" hidden="1">Fixed_Weight!$B$9:$G$9</definedName>
    <definedName name="solver_lhs0" localSheetId="4" hidden="1">Fixed_Weight_Validations!$B$6:$AF$6</definedName>
    <definedName name="solver_lhs0" localSheetId="7" hidden="1">Outputs!$B$11:$E$11</definedName>
    <definedName name="solver_lhs1" localSheetId="5" hidden="1">CalculationsCurrent!$B$9</definedName>
    <definedName name="solver_lhs1" localSheetId="3" hidden="1">Fixed_Time!$B$9</definedName>
    <definedName name="solver_lhs1" localSheetId="2" hidden="1">Fixed_Weight!$B$9</definedName>
    <definedName name="solver_lhs1" localSheetId="4" hidden="1">Fixed_Weight_Validations!$B$6</definedName>
    <definedName name="solver_lhs1" localSheetId="7" hidden="1">Outputs!$B$11</definedName>
    <definedName name="solver_lhs10" localSheetId="5" hidden="1">CalculationsCurrent!$F$9</definedName>
    <definedName name="solver_lhs10" localSheetId="3" hidden="1">Fixed_Time!$F$9</definedName>
    <definedName name="solver_lhs10" localSheetId="2" hidden="1">Fixed_Weight!$F$9</definedName>
    <definedName name="solver_lhs10" localSheetId="4" hidden="1">Fixed_Weight_Validations!$Z$6</definedName>
    <definedName name="solver_lhs10" localSheetId="7" hidden="1">Outputs!#REF!</definedName>
    <definedName name="solver_lhs11" localSheetId="5" hidden="1">CalculationsCurrent!$G$9</definedName>
    <definedName name="solver_lhs11" localSheetId="3" hidden="1">Fixed_Time!$G$9</definedName>
    <definedName name="solver_lhs11" localSheetId="2" hidden="1">Fixed_Weight!$G$9</definedName>
    <definedName name="solver_lhs11" localSheetId="4" hidden="1">Fixed_Weight_Validations!$AF$6</definedName>
    <definedName name="solver_lhs11" localSheetId="7" hidden="1">Outputs!$F$11</definedName>
    <definedName name="solver_lhs12" localSheetId="5" hidden="1">CalculationsCurrent!$G$9</definedName>
    <definedName name="solver_lhs12" localSheetId="3" hidden="1">Fixed_Time!$G$9</definedName>
    <definedName name="solver_lhs12" localSheetId="2" hidden="1">Fixed_Weight!$G$9</definedName>
    <definedName name="solver_lhs12" localSheetId="4" hidden="1">Fixed_Weight_Validations!$AF$6</definedName>
    <definedName name="solver_lhs12" localSheetId="7" hidden="1">Outputs!$F$11</definedName>
    <definedName name="solver_lhs13" localSheetId="5" hidden="1">CalculationsCurrent!$H$27</definedName>
    <definedName name="solver_lhs13" localSheetId="3" hidden="1">Fixed_Time!$G$9</definedName>
    <definedName name="solver_lhs13" localSheetId="2" hidden="1">Fixed_Weight!$M$11</definedName>
    <definedName name="solver_lhs13" localSheetId="4" hidden="1">Fixed_Weight_Validations!#REF!</definedName>
    <definedName name="solver_lhs13" localSheetId="7" hidden="1">Outputs!#REF!</definedName>
    <definedName name="solver_lhs14" localSheetId="5" hidden="1">CalculationsCurrent!$G$9</definedName>
    <definedName name="solver_lhs14" localSheetId="3" hidden="1">Fixed_Time!$M$11</definedName>
    <definedName name="solver_lhs14" localSheetId="2" hidden="1">Fixed_Weight!$M$11</definedName>
    <definedName name="solver_lhs14" localSheetId="4" hidden="1">Fixed_Weight_Validations!#REF!</definedName>
    <definedName name="solver_lhs14" localSheetId="7" hidden="1">Outputs!$F$11</definedName>
    <definedName name="solver_lhs15" localSheetId="5" hidden="1">CalculationsCurrent!$G$9</definedName>
    <definedName name="solver_lhs15" localSheetId="3" hidden="1">Fixed_Time!$G$9</definedName>
    <definedName name="solver_lhs15" localSheetId="2" hidden="1">Fixed_Weight!$G$9</definedName>
    <definedName name="solver_lhs15" localSheetId="4" hidden="1">Fixed_Weight_Validations!$AF$6</definedName>
    <definedName name="solver_lhs15" localSheetId="7" hidden="1">Outputs!$F$11</definedName>
    <definedName name="solver_lhs16" localSheetId="5" hidden="1">CalculationsCurrent!$G$9</definedName>
    <definedName name="solver_lhs16" localSheetId="3" hidden="1">Fixed_Time!$G$9</definedName>
    <definedName name="solver_lhs16" localSheetId="2" hidden="1">Fixed_Weight!$G$9</definedName>
    <definedName name="solver_lhs16" localSheetId="4" hidden="1">Fixed_Weight_Validations!$AF$6</definedName>
    <definedName name="solver_lhs16" localSheetId="7" hidden="1">Outputs!$F$11</definedName>
    <definedName name="solver_lhs17" localSheetId="5" hidden="1">CalculationsCurrent!$G$9</definedName>
    <definedName name="solver_lhs17" localSheetId="3" hidden="1">Fixed_Time!$G$9</definedName>
    <definedName name="solver_lhs17" localSheetId="2" hidden="1">Fixed_Weight!$G$9</definedName>
    <definedName name="solver_lhs17" localSheetId="4" hidden="1">Fixed_Weight_Validations!$AF$6</definedName>
    <definedName name="solver_lhs17" localSheetId="7" hidden="1">Outputs!$F$11</definedName>
    <definedName name="solver_lhs18" localSheetId="5" hidden="1">CalculationsCurrent!$G$9</definedName>
    <definedName name="solver_lhs18" localSheetId="3" hidden="1">Fixed_Time!$G$9</definedName>
    <definedName name="solver_lhs18" localSheetId="2" hidden="1">Fixed_Weight!$G$9</definedName>
    <definedName name="solver_lhs18" localSheetId="4" hidden="1">Fixed_Weight_Validations!$AF$6</definedName>
    <definedName name="solver_lhs18" localSheetId="7" hidden="1">Outputs!$F$11</definedName>
    <definedName name="solver_lhs2" localSheetId="5" hidden="1">CalculationsCurrent!$B$9</definedName>
    <definedName name="solver_lhs2" localSheetId="3" hidden="1">Fixed_Time!$B$9</definedName>
    <definedName name="solver_lhs2" localSheetId="2" hidden="1">Fixed_Weight!$B$9</definedName>
    <definedName name="solver_lhs2" localSheetId="4" hidden="1">Fixed_Weight_Validations!$B$6</definedName>
    <definedName name="solver_lhs2" localSheetId="7" hidden="1">Outputs!$B$11</definedName>
    <definedName name="solver_lhs3" localSheetId="5" hidden="1">CalculationsCurrent!$C$9</definedName>
    <definedName name="solver_lhs3" localSheetId="3" hidden="1">Fixed_Time!$C$9</definedName>
    <definedName name="solver_lhs3" localSheetId="2" hidden="1">Fixed_Weight!$C$9</definedName>
    <definedName name="solver_lhs3" localSheetId="4" hidden="1">Fixed_Weight_Validations!$H$6</definedName>
    <definedName name="solver_lhs3" localSheetId="7" hidden="1">Outputs!$C$11</definedName>
    <definedName name="solver_lhs4" localSheetId="5" hidden="1">CalculationsCurrent!$C$9</definedName>
    <definedName name="solver_lhs4" localSheetId="3" hidden="1">Fixed_Time!$C$9</definedName>
    <definedName name="solver_lhs4" localSheetId="2" hidden="1">Fixed_Weight!$C$9</definedName>
    <definedName name="solver_lhs4" localSheetId="4" hidden="1">Fixed_Weight_Validations!$H$6</definedName>
    <definedName name="solver_lhs4" localSheetId="7" hidden="1">Outputs!$C$11</definedName>
    <definedName name="solver_lhs5" localSheetId="5" hidden="1">CalculationsCurrent!$D$9</definedName>
    <definedName name="solver_lhs5" localSheetId="3" hidden="1">Fixed_Time!$D$9</definedName>
    <definedName name="solver_lhs5" localSheetId="2" hidden="1">Fixed_Weight!$D$9</definedName>
    <definedName name="solver_lhs5" localSheetId="4" hidden="1">Fixed_Weight_Validations!$N$6</definedName>
    <definedName name="solver_lhs5" localSheetId="7" hidden="1">Outputs!$D$11</definedName>
    <definedName name="solver_lhs6" localSheetId="5" hidden="1">CalculationsCurrent!$D$9</definedName>
    <definedName name="solver_lhs6" localSheetId="3" hidden="1">Fixed_Time!$D$9</definedName>
    <definedName name="solver_lhs6" localSheetId="2" hidden="1">Fixed_Weight!$D$9</definedName>
    <definedName name="solver_lhs6" localSheetId="4" hidden="1">Fixed_Weight_Validations!$N$6</definedName>
    <definedName name="solver_lhs6" localSheetId="7" hidden="1">Outputs!$D$11</definedName>
    <definedName name="solver_lhs7" localSheetId="5" hidden="1">CalculationsCurrent!$E$9</definedName>
    <definedName name="solver_lhs7" localSheetId="3" hidden="1">Fixed_Time!$E$9</definedName>
    <definedName name="solver_lhs7" localSheetId="2" hidden="1">Fixed_Weight!$E$9</definedName>
    <definedName name="solver_lhs7" localSheetId="4" hidden="1">Fixed_Weight_Validations!$T$6</definedName>
    <definedName name="solver_lhs7" localSheetId="7" hidden="1">Outputs!$E$11</definedName>
    <definedName name="solver_lhs8" localSheetId="5" hidden="1">CalculationsCurrent!$E$9</definedName>
    <definedName name="solver_lhs8" localSheetId="3" hidden="1">Fixed_Time!$E$9</definedName>
    <definedName name="solver_lhs8" localSheetId="2" hidden="1">Fixed_Weight!$E$9</definedName>
    <definedName name="solver_lhs8" localSheetId="4" hidden="1">Fixed_Weight_Validations!$T$6</definedName>
    <definedName name="solver_lhs8" localSheetId="7" hidden="1">Outputs!$E$11</definedName>
    <definedName name="solver_lhs9" localSheetId="5" hidden="1">CalculationsCurrent!$F$9</definedName>
    <definedName name="solver_lhs9" localSheetId="3" hidden="1">Fixed_Time!$F$9</definedName>
    <definedName name="solver_lhs9" localSheetId="2" hidden="1">Fixed_Weight!$F$9</definedName>
    <definedName name="solver_lhs9" localSheetId="4" hidden="1">Fixed_Weight_Validations!$Z$6</definedName>
    <definedName name="solver_lhs9" localSheetId="7" hidden="1">Outputs!#REF!</definedName>
    <definedName name="solver_lin" localSheetId="3" hidden="1">2</definedName>
    <definedName name="solver_lin" localSheetId="2" hidden="1">2</definedName>
    <definedName name="solver_mip" localSheetId="5" hidden="1">2147483647</definedName>
    <definedName name="solver_mip" localSheetId="3" hidden="1">2147483647</definedName>
    <definedName name="solver_mip" localSheetId="2" hidden="1">2147483647</definedName>
    <definedName name="solver_mip" localSheetId="4" hidden="1">2147483647</definedName>
    <definedName name="solver_mip" localSheetId="7" hidden="1">2147483647</definedName>
    <definedName name="solver_mni" localSheetId="5" hidden="1">30</definedName>
    <definedName name="solver_mni" localSheetId="3" hidden="1">30</definedName>
    <definedName name="solver_mni" localSheetId="2" hidden="1">30</definedName>
    <definedName name="solver_mni" localSheetId="4" hidden="1">30</definedName>
    <definedName name="solver_mni" localSheetId="7" hidden="1">30</definedName>
    <definedName name="solver_mrt" localSheetId="5" hidden="1">0.075</definedName>
    <definedName name="solver_mrt" localSheetId="3" hidden="1">0.075</definedName>
    <definedName name="solver_mrt" localSheetId="2" hidden="1">0.075</definedName>
    <definedName name="solver_mrt" localSheetId="4" hidden="1">0.075</definedName>
    <definedName name="solver_mrt" localSheetId="7" hidden="1">0.075</definedName>
    <definedName name="solver_msl" localSheetId="5" hidden="1">1</definedName>
    <definedName name="solver_msl" localSheetId="3" hidden="1">1</definedName>
    <definedName name="solver_msl" localSheetId="2" hidden="1">2</definedName>
    <definedName name="solver_msl" localSheetId="4" hidden="1">1</definedName>
    <definedName name="solver_msl" localSheetId="7" hidden="1">1</definedName>
    <definedName name="solver_neg" localSheetId="5" hidden="1">1</definedName>
    <definedName name="solver_neg" localSheetId="3" hidden="1">2</definedName>
    <definedName name="solver_neg" localSheetId="2" hidden="1">2</definedName>
    <definedName name="solver_neg" localSheetId="4" hidden="1">1</definedName>
    <definedName name="solver_neg" localSheetId="9" hidden="1">1</definedName>
    <definedName name="solver_neg" localSheetId="1" hidden="1">1</definedName>
    <definedName name="solver_neg" localSheetId="0" hidden="1">1</definedName>
    <definedName name="solver_neg" localSheetId="7" hidden="1">1</definedName>
    <definedName name="solver_nod" localSheetId="5" hidden="1">2147483647</definedName>
    <definedName name="solver_nod" localSheetId="3" hidden="1">2147483647</definedName>
    <definedName name="solver_nod" localSheetId="2" hidden="1">2147483647</definedName>
    <definedName name="solver_nod" localSheetId="4" hidden="1">2147483647</definedName>
    <definedName name="solver_nod" localSheetId="7" hidden="1">2147483647</definedName>
    <definedName name="solver_num" localSheetId="5" hidden="1">12</definedName>
    <definedName name="solver_num" localSheetId="3" hidden="1">12</definedName>
    <definedName name="solver_num" localSheetId="2" hidden="1">12</definedName>
    <definedName name="solver_num" localSheetId="4" hidden="1">12</definedName>
    <definedName name="solver_num" localSheetId="9" hidden="1">0</definedName>
    <definedName name="solver_num" localSheetId="1" hidden="1">0</definedName>
    <definedName name="solver_num" localSheetId="0" hidden="1">0</definedName>
    <definedName name="solver_num" localSheetId="7" hidden="1">12</definedName>
    <definedName name="solver_nwt" localSheetId="5" hidden="1">1</definedName>
    <definedName name="solver_nwt" localSheetId="3" hidden="1">1</definedName>
    <definedName name="solver_nwt" localSheetId="2" hidden="1">1</definedName>
    <definedName name="solver_nwt" localSheetId="4" hidden="1">1</definedName>
    <definedName name="solver_nwt" localSheetId="7" hidden="1">1</definedName>
    <definedName name="solver_opt" localSheetId="5" hidden="1">CalculationsCurrent!$J$25</definedName>
    <definedName name="solver_opt" localSheetId="3" hidden="1">Fixed_Time!$J$23</definedName>
    <definedName name="solver_opt" localSheetId="2" hidden="1">Fixed_Weight!$J$23</definedName>
    <definedName name="solver_opt" localSheetId="4" hidden="1">Fixed_Weight_Validations!#REF!</definedName>
    <definedName name="solver_opt" localSheetId="9" hidden="1">Inputs!$D$2</definedName>
    <definedName name="solver_opt" localSheetId="1" hidden="1">'Inputs - Metric'!$D$2</definedName>
    <definedName name="solver_opt" localSheetId="0" hidden="1">Instructions!$C$6</definedName>
    <definedName name="solver_opt" localSheetId="7" hidden="1">Outputs!#REF!</definedName>
    <definedName name="solver_pre" localSheetId="5" hidden="1">0.000001</definedName>
    <definedName name="solver_pre" localSheetId="3" hidden="1">0.000001</definedName>
    <definedName name="solver_pre" localSheetId="2" hidden="1">0.000001</definedName>
    <definedName name="solver_pre" localSheetId="4" hidden="1">0.000001</definedName>
    <definedName name="solver_pre" localSheetId="7" hidden="1">0.000001</definedName>
    <definedName name="solver_rbv" localSheetId="5" hidden="1">1</definedName>
    <definedName name="solver_rbv" localSheetId="3" hidden="1">1</definedName>
    <definedName name="solver_rbv" localSheetId="2" hidden="1">2</definedName>
    <definedName name="solver_rbv" localSheetId="4" hidden="1">1</definedName>
    <definedName name="solver_rbv" localSheetId="7" hidden="1">1</definedName>
    <definedName name="solver_rel0" localSheetId="5" hidden="1">3</definedName>
    <definedName name="solver_rel0" localSheetId="3" hidden="1">3</definedName>
    <definedName name="solver_rel0" localSheetId="2" hidden="1">3</definedName>
    <definedName name="solver_rel0" localSheetId="4" hidden="1">3</definedName>
    <definedName name="solver_rel0" localSheetId="7" hidden="1">3</definedName>
    <definedName name="solver_rel1" localSheetId="5" hidden="1">1</definedName>
    <definedName name="solver_rel1" localSheetId="3" hidden="1">1</definedName>
    <definedName name="solver_rel1" localSheetId="2" hidden="1">1</definedName>
    <definedName name="solver_rel1" localSheetId="4" hidden="1">1</definedName>
    <definedName name="solver_rel1" localSheetId="7" hidden="1">1</definedName>
    <definedName name="solver_rel10" localSheetId="5" hidden="1">3</definedName>
    <definedName name="solver_rel10" localSheetId="3" hidden="1">3</definedName>
    <definedName name="solver_rel10" localSheetId="2" hidden="1">3</definedName>
    <definedName name="solver_rel10" localSheetId="4" hidden="1">3</definedName>
    <definedName name="solver_rel10" localSheetId="7" hidden="1">3</definedName>
    <definedName name="solver_rel11" localSheetId="5" hidden="1">1</definedName>
    <definedName name="solver_rel11" localSheetId="3" hidden="1">1</definedName>
    <definedName name="solver_rel11" localSheetId="2" hidden="1">1</definedName>
    <definedName name="solver_rel11" localSheetId="4" hidden="1">1</definedName>
    <definedName name="solver_rel11" localSheetId="7" hidden="1">1</definedName>
    <definedName name="solver_rel12" localSheetId="5" hidden="1">3</definedName>
    <definedName name="solver_rel12" localSheetId="3" hidden="1">3</definedName>
    <definedName name="solver_rel12" localSheetId="2" hidden="1">3</definedName>
    <definedName name="solver_rel12" localSheetId="4" hidden="1">3</definedName>
    <definedName name="solver_rel12" localSheetId="7" hidden="1">3</definedName>
    <definedName name="solver_rel13" localSheetId="5" hidden="1">1</definedName>
    <definedName name="solver_rel13" localSheetId="3" hidden="1">3</definedName>
    <definedName name="solver_rel13" localSheetId="2" hidden="1">2</definedName>
    <definedName name="solver_rel13" localSheetId="4" hidden="1">2</definedName>
    <definedName name="solver_rel13" localSheetId="7" hidden="1">1</definedName>
    <definedName name="solver_rel14" localSheetId="5" hidden="1">3</definedName>
    <definedName name="solver_rel14" localSheetId="3" hidden="1">1</definedName>
    <definedName name="solver_rel14" localSheetId="2" hidden="1">1</definedName>
    <definedName name="solver_rel14" localSheetId="4" hidden="1">1</definedName>
    <definedName name="solver_rel14" localSheetId="7" hidden="1">3</definedName>
    <definedName name="solver_rel15" localSheetId="5" hidden="1">3</definedName>
    <definedName name="solver_rel15" localSheetId="3" hidden="1">3</definedName>
    <definedName name="solver_rel15" localSheetId="2" hidden="1">3</definedName>
    <definedName name="solver_rel15" localSheetId="4" hidden="1">3</definedName>
    <definedName name="solver_rel15" localSheetId="7" hidden="1">3</definedName>
    <definedName name="solver_rel16" localSheetId="5" hidden="1">3</definedName>
    <definedName name="solver_rel16" localSheetId="3" hidden="1">3</definedName>
    <definedName name="solver_rel16" localSheetId="2" hidden="1">3</definedName>
    <definedName name="solver_rel16" localSheetId="4" hidden="1">3</definedName>
    <definedName name="solver_rel16" localSheetId="7" hidden="1">3</definedName>
    <definedName name="solver_rel17" localSheetId="5" hidden="1">3</definedName>
    <definedName name="solver_rel17" localSheetId="3" hidden="1">3</definedName>
    <definedName name="solver_rel17" localSheetId="2" hidden="1">3</definedName>
    <definedName name="solver_rel17" localSheetId="4" hidden="1">3</definedName>
    <definedName name="solver_rel17" localSheetId="7" hidden="1">3</definedName>
    <definedName name="solver_rel18" localSheetId="5" hidden="1">3</definedName>
    <definedName name="solver_rel18" localSheetId="3" hidden="1">3</definedName>
    <definedName name="solver_rel18" localSheetId="2" hidden="1">3</definedName>
    <definedName name="solver_rel18" localSheetId="4" hidden="1">3</definedName>
    <definedName name="solver_rel18" localSheetId="7" hidden="1">3</definedName>
    <definedName name="solver_rel2" localSheetId="5" hidden="1">3</definedName>
    <definedName name="solver_rel2" localSheetId="3" hidden="1">3</definedName>
    <definedName name="solver_rel2" localSheetId="2" hidden="1">3</definedName>
    <definedName name="solver_rel2" localSheetId="4" hidden="1">3</definedName>
    <definedName name="solver_rel2" localSheetId="7" hidden="1">3</definedName>
    <definedName name="solver_rel3" localSheetId="5" hidden="1">1</definedName>
    <definedName name="solver_rel3" localSheetId="3" hidden="1">1</definedName>
    <definedName name="solver_rel3" localSheetId="2" hidden="1">1</definedName>
    <definedName name="solver_rel3" localSheetId="4" hidden="1">1</definedName>
    <definedName name="solver_rel3" localSheetId="7" hidden="1">1</definedName>
    <definedName name="solver_rel4" localSheetId="5" hidden="1">3</definedName>
    <definedName name="solver_rel4" localSheetId="3" hidden="1">3</definedName>
    <definedName name="solver_rel4" localSheetId="2" hidden="1">3</definedName>
    <definedName name="solver_rel4" localSheetId="4" hidden="1">3</definedName>
    <definedName name="solver_rel4" localSheetId="7" hidden="1">3</definedName>
    <definedName name="solver_rel5" localSheetId="5" hidden="1">1</definedName>
    <definedName name="solver_rel5" localSheetId="3" hidden="1">1</definedName>
    <definedName name="solver_rel5" localSheetId="2" hidden="1">1</definedName>
    <definedName name="solver_rel5" localSheetId="4" hidden="1">1</definedName>
    <definedName name="solver_rel5" localSheetId="7" hidden="1">1</definedName>
    <definedName name="solver_rel6" localSheetId="5" hidden="1">3</definedName>
    <definedName name="solver_rel6" localSheetId="3" hidden="1">3</definedName>
    <definedName name="solver_rel6" localSheetId="2" hidden="1">3</definedName>
    <definedName name="solver_rel6" localSheetId="4" hidden="1">3</definedName>
    <definedName name="solver_rel6" localSheetId="7" hidden="1">3</definedName>
    <definedName name="solver_rel7" localSheetId="5" hidden="1">1</definedName>
    <definedName name="solver_rel7" localSheetId="3" hidden="1">1</definedName>
    <definedName name="solver_rel7" localSheetId="2" hidden="1">1</definedName>
    <definedName name="solver_rel7" localSheetId="4" hidden="1">1</definedName>
    <definedName name="solver_rel7" localSheetId="7" hidden="1">1</definedName>
    <definedName name="solver_rel8" localSheetId="5" hidden="1">3</definedName>
    <definedName name="solver_rel8" localSheetId="3" hidden="1">3</definedName>
    <definedName name="solver_rel8" localSheetId="2" hidden="1">3</definedName>
    <definedName name="solver_rel8" localSheetId="4" hidden="1">3</definedName>
    <definedName name="solver_rel8" localSheetId="7" hidden="1">3</definedName>
    <definedName name="solver_rel9" localSheetId="5" hidden="1">1</definedName>
    <definedName name="solver_rel9" localSheetId="3" hidden="1">1</definedName>
    <definedName name="solver_rel9" localSheetId="2" hidden="1">1</definedName>
    <definedName name="solver_rel9" localSheetId="4" hidden="1">1</definedName>
    <definedName name="solver_rel9" localSheetId="7" hidden="1">1</definedName>
    <definedName name="solver_rhs0" localSheetId="5" hidden="1">983</definedName>
    <definedName name="solver_rhs0" localSheetId="3" hidden="1">983</definedName>
    <definedName name="solver_rhs0" localSheetId="2" hidden="1">983</definedName>
    <definedName name="solver_rhs0" localSheetId="4" hidden="1">983</definedName>
    <definedName name="solver_rhs0" localSheetId="7" hidden="1">983</definedName>
    <definedName name="solver_rhs1" localSheetId="5" hidden="1">CalculationsCurrent!$D$37</definedName>
    <definedName name="solver_rhs1" localSheetId="3" hidden="1">Fixed_Time!$D$47</definedName>
    <definedName name="solver_rhs1" localSheetId="2" hidden="1">Fixed_Weight!$D$47</definedName>
    <definedName name="solver_rhs1" localSheetId="4" hidden="1">Fixed_Weight_Validations!#REF!</definedName>
    <definedName name="solver_rhs1" localSheetId="7" hidden="1">Outputs!$D$42</definedName>
    <definedName name="solver_rhs10" localSheetId="5" hidden="1">CalculationsCurrent!$C$41</definedName>
    <definedName name="solver_rhs10" localSheetId="3" hidden="1">Fixed_Time!$C$51</definedName>
    <definedName name="solver_rhs10" localSheetId="2" hidden="1">Fixed_Weight!$C$51</definedName>
    <definedName name="solver_rhs10" localSheetId="4" hidden="1">Fixed_Weight_Validations!$H$46</definedName>
    <definedName name="solver_rhs10" localSheetId="7" hidden="1">Outputs!$C$46</definedName>
    <definedName name="solver_rhs11" localSheetId="5" hidden="1">CalculationsCurrent!$D$42</definedName>
    <definedName name="solver_rhs11" localSheetId="3" hidden="1">Fixed_Time!$D$52</definedName>
    <definedName name="solver_rhs11" localSheetId="2" hidden="1">Fixed_Weight!$D$52</definedName>
    <definedName name="solver_rhs11" localSheetId="4" hidden="1">Fixed_Weight_Validations!$N$47</definedName>
    <definedName name="solver_rhs11" localSheetId="7" hidden="1">Outputs!$D$47</definedName>
    <definedName name="solver_rhs12" localSheetId="5" hidden="1">CalculationsCurrent!$C$42</definedName>
    <definedName name="solver_rhs12" localSheetId="3" hidden="1">Fixed_Time!$C$52</definedName>
    <definedName name="solver_rhs12" localSheetId="2" hidden="1">Fixed_Weight!$C$52</definedName>
    <definedName name="solver_rhs12" localSheetId="4" hidden="1">Fixed_Weight_Validations!$H$47</definedName>
    <definedName name="solver_rhs12" localSheetId="7" hidden="1">Outputs!$C$47</definedName>
    <definedName name="solver_rhs13" localSheetId="5" hidden="1">130</definedName>
    <definedName name="solver_rhs13" localSheetId="3" hidden="1">Fixed_Time!$C$52</definedName>
    <definedName name="solver_rhs13" localSheetId="2" hidden="1">Fixed_Weight!$C$54</definedName>
    <definedName name="solver_rhs13" localSheetId="4" hidden="1">Fixed_Weight_Validations!#REF!</definedName>
    <definedName name="solver_rhs13" localSheetId="7" hidden="1">130</definedName>
    <definedName name="solver_rhs14" localSheetId="5" hidden="1">CalculationsCurrent!$C$42</definedName>
    <definedName name="solver_rhs14" localSheetId="3" hidden="1">Fixed_Time!#REF!</definedName>
    <definedName name="solver_rhs14" localSheetId="2" hidden="1">Fixed_Weight!$C$54</definedName>
    <definedName name="solver_rhs14" localSheetId="4" hidden="1">Fixed_Weight_Validations!#REF!</definedName>
    <definedName name="solver_rhs14" localSheetId="7" hidden="1">Outputs!$C$47</definedName>
    <definedName name="solver_rhs15" localSheetId="5" hidden="1">CalculationsCurrent!$C$42</definedName>
    <definedName name="solver_rhs15" localSheetId="3" hidden="1">Fixed_Time!$C$52</definedName>
    <definedName name="solver_rhs15" localSheetId="2" hidden="1">Fixed_Weight!$C$51</definedName>
    <definedName name="solver_rhs15" localSheetId="4" hidden="1">Fixed_Weight_Validations!$H$47</definedName>
    <definedName name="solver_rhs15" localSheetId="7" hidden="1">Outputs!$C$47</definedName>
    <definedName name="solver_rhs16" localSheetId="5" hidden="1">CalculationsCurrent!$C$42</definedName>
    <definedName name="solver_rhs16" localSheetId="3" hidden="1">Fixed_Time!$C$52</definedName>
    <definedName name="solver_rhs16" localSheetId="2" hidden="1">Fixed_Weight!$C$51</definedName>
    <definedName name="solver_rhs16" localSheetId="4" hidden="1">Fixed_Weight_Validations!$H$47</definedName>
    <definedName name="solver_rhs16" localSheetId="7" hidden="1">Outputs!$C$47</definedName>
    <definedName name="solver_rhs17" localSheetId="5" hidden="1">CalculationsCurrent!$C$42</definedName>
    <definedName name="solver_rhs17" localSheetId="3" hidden="1">Fixed_Time!$C$52</definedName>
    <definedName name="solver_rhs17" localSheetId="2" hidden="1">Fixed_Weight!$C$51</definedName>
    <definedName name="solver_rhs17" localSheetId="4" hidden="1">Fixed_Weight_Validations!$H$47</definedName>
    <definedName name="solver_rhs17" localSheetId="7" hidden="1">Outputs!$C$47</definedName>
    <definedName name="solver_rhs18" localSheetId="5" hidden="1">CalculationsCurrent!$C$42</definedName>
    <definedName name="solver_rhs18" localSheetId="3" hidden="1">Fixed_Time!$C$52</definedName>
    <definedName name="solver_rhs18" localSheetId="2" hidden="1">Fixed_Weight!$C$51</definedName>
    <definedName name="solver_rhs18" localSheetId="4" hidden="1">Fixed_Weight_Validations!$H$47</definedName>
    <definedName name="solver_rhs18" localSheetId="7" hidden="1">Outputs!$C$47</definedName>
    <definedName name="solver_rhs2" localSheetId="5" hidden="1">CalculationsCurrent!$C$37</definedName>
    <definedName name="solver_rhs2" localSheetId="3" hidden="1">Fixed_Time!$C$47</definedName>
    <definedName name="solver_rhs2" localSheetId="2" hidden="1">Fixed_Weight!$C$47</definedName>
    <definedName name="solver_rhs2" localSheetId="4" hidden="1">Fixed_Weight_Validations!#REF!</definedName>
    <definedName name="solver_rhs2" localSheetId="7" hidden="1">Outputs!$C$42</definedName>
    <definedName name="solver_rhs3" localSheetId="5" hidden="1">CalculationsCurrent!$D$38</definedName>
    <definedName name="solver_rhs3" localSheetId="3" hidden="1">Fixed_Time!$D$48</definedName>
    <definedName name="solver_rhs3" localSheetId="2" hidden="1">Fixed_Weight!$D$48</definedName>
    <definedName name="solver_rhs3" localSheetId="4" hidden="1">Fixed_Weight_Validations!$N$43</definedName>
    <definedName name="solver_rhs3" localSheetId="7" hidden="1">Outputs!$D$43</definedName>
    <definedName name="solver_rhs4" localSheetId="5" hidden="1">CalculationsCurrent!$C$38</definedName>
    <definedName name="solver_rhs4" localSheetId="3" hidden="1">Fixed_Time!$C$48</definedName>
    <definedName name="solver_rhs4" localSheetId="2" hidden="1">Fixed_Weight!$C$48</definedName>
    <definedName name="solver_rhs4" localSheetId="4" hidden="1">Fixed_Weight_Validations!$H$43</definedName>
    <definedName name="solver_rhs4" localSheetId="7" hidden="1">Outputs!$C$43</definedName>
    <definedName name="solver_rhs5" localSheetId="5" hidden="1">CalculationsCurrent!$D$39</definedName>
    <definedName name="solver_rhs5" localSheetId="3" hidden="1">Fixed_Time!$D$49</definedName>
    <definedName name="solver_rhs5" localSheetId="2" hidden="1">Fixed_Weight!$D$49</definedName>
    <definedName name="solver_rhs5" localSheetId="4" hidden="1">Fixed_Weight_Validations!$N$44</definedName>
    <definedName name="solver_rhs5" localSheetId="7" hidden="1">Outputs!$D$44</definedName>
    <definedName name="solver_rhs6" localSheetId="5" hidden="1">CalculationsCurrent!$C$39</definedName>
    <definedName name="solver_rhs6" localSheetId="3" hidden="1">Fixed_Time!$C$49</definedName>
    <definedName name="solver_rhs6" localSheetId="2" hidden="1">Fixed_Weight!$C$49</definedName>
    <definedName name="solver_rhs6" localSheetId="4" hidden="1">Fixed_Weight_Validations!$H$44</definedName>
    <definedName name="solver_rhs6" localSheetId="7" hidden="1">Outputs!$C$44</definedName>
    <definedName name="solver_rhs7" localSheetId="5" hidden="1">CalculationsCurrent!$D$40</definedName>
    <definedName name="solver_rhs7" localSheetId="3" hidden="1">Fixed_Time!$D$50</definedName>
    <definedName name="solver_rhs7" localSheetId="2" hidden="1">Fixed_Weight!$D$50</definedName>
    <definedName name="solver_rhs7" localSheetId="4" hidden="1">Fixed_Weight_Validations!$N$45</definedName>
    <definedName name="solver_rhs7" localSheetId="7" hidden="1">Outputs!$D$45</definedName>
    <definedName name="solver_rhs8" localSheetId="5" hidden="1">CalculationsCurrent!$C$40</definedName>
    <definedName name="solver_rhs8" localSheetId="3" hidden="1">Fixed_Time!$C$50</definedName>
    <definedName name="solver_rhs8" localSheetId="2" hidden="1">Fixed_Weight!$C$50</definedName>
    <definedName name="solver_rhs8" localSheetId="4" hidden="1">Fixed_Weight_Validations!$H$45</definedName>
    <definedName name="solver_rhs8" localSheetId="7" hidden="1">Outputs!$C$45</definedName>
    <definedName name="solver_rhs9" localSheetId="5" hidden="1">CalculationsCurrent!$D$41</definedName>
    <definedName name="solver_rhs9" localSheetId="3" hidden="1">Fixed_Time!$D$51</definedName>
    <definedName name="solver_rhs9" localSheetId="2" hidden="1">Fixed_Weight!$D$51</definedName>
    <definedName name="solver_rhs9" localSheetId="4" hidden="1">Fixed_Weight_Validations!$N$46</definedName>
    <definedName name="solver_rhs9" localSheetId="7" hidden="1">Outputs!$D$46</definedName>
    <definedName name="solver_rlx" localSheetId="5" hidden="1">2</definedName>
    <definedName name="solver_rlx" localSheetId="3" hidden="1">2</definedName>
    <definedName name="solver_rlx" localSheetId="2" hidden="1">2</definedName>
    <definedName name="solver_rlx" localSheetId="4" hidden="1">2</definedName>
    <definedName name="solver_rlx" localSheetId="7" hidden="1">2</definedName>
    <definedName name="solver_rsd" localSheetId="5" hidden="1">1</definedName>
    <definedName name="solver_rsd" localSheetId="3" hidden="1">1</definedName>
    <definedName name="solver_rsd" localSheetId="2" hidden="1">0</definedName>
    <definedName name="solver_rsd" localSheetId="4" hidden="1">1</definedName>
    <definedName name="solver_rsd" localSheetId="7" hidden="1">1</definedName>
    <definedName name="solver_scl" localSheetId="5" hidden="1">2</definedName>
    <definedName name="solver_scl" localSheetId="3" hidden="1">2</definedName>
    <definedName name="solver_scl" localSheetId="2" hidden="1">2</definedName>
    <definedName name="solver_scl" localSheetId="4" hidden="1">2</definedName>
    <definedName name="solver_scl" localSheetId="7" hidden="1">2</definedName>
    <definedName name="solver_sho" localSheetId="5" hidden="1">2</definedName>
    <definedName name="solver_sho" localSheetId="3" hidden="1">2</definedName>
    <definedName name="solver_sho" localSheetId="2" hidden="1">2</definedName>
    <definedName name="solver_sho" localSheetId="4" hidden="1">2</definedName>
    <definedName name="solver_sho" localSheetId="7" hidden="1">2</definedName>
    <definedName name="solver_ssz" localSheetId="5" hidden="1">40</definedName>
    <definedName name="solver_ssz" localSheetId="3" hidden="1">40</definedName>
    <definedName name="solver_ssz" localSheetId="2" hidden="1">0</definedName>
    <definedName name="solver_ssz" localSheetId="4" hidden="1">40</definedName>
    <definedName name="solver_ssz" localSheetId="7" hidden="1">40</definedName>
    <definedName name="solver_tim" localSheetId="5" hidden="1">2147483647</definedName>
    <definedName name="solver_tim" localSheetId="3" hidden="1">100</definedName>
    <definedName name="solver_tim" localSheetId="2" hidden="1">100</definedName>
    <definedName name="solver_tim" localSheetId="4" hidden="1">2147483647</definedName>
    <definedName name="solver_tim" localSheetId="7" hidden="1">2147483647</definedName>
    <definedName name="solver_tol" localSheetId="5" hidden="1">0.01</definedName>
    <definedName name="solver_tol" localSheetId="3" hidden="1">0.05</definedName>
    <definedName name="solver_tol" localSheetId="2" hidden="1">0.05</definedName>
    <definedName name="solver_tol" localSheetId="4" hidden="1">0.01</definedName>
    <definedName name="solver_tol" localSheetId="7" hidden="1">0.01</definedName>
    <definedName name="solver_typ" localSheetId="5" hidden="1">1</definedName>
    <definedName name="solver_typ" localSheetId="3" hidden="1">1</definedName>
    <definedName name="solver_typ" localSheetId="2" hidden="1">1</definedName>
    <definedName name="solver_typ" localSheetId="4" hidden="1">1</definedName>
    <definedName name="solver_typ" localSheetId="9" hidden="1">1</definedName>
    <definedName name="solver_typ" localSheetId="1" hidden="1">1</definedName>
    <definedName name="solver_typ" localSheetId="0" hidden="1">1</definedName>
    <definedName name="solver_typ" localSheetId="7" hidden="1">1</definedName>
    <definedName name="solver_val" localSheetId="5" hidden="1">0</definedName>
    <definedName name="solver_val" localSheetId="3" hidden="1">0</definedName>
    <definedName name="solver_val" localSheetId="2" hidden="1">0</definedName>
    <definedName name="solver_val" localSheetId="4" hidden="1">0</definedName>
    <definedName name="solver_val" localSheetId="9" hidden="1">0</definedName>
    <definedName name="solver_val" localSheetId="1" hidden="1">0</definedName>
    <definedName name="solver_val" localSheetId="0" hidden="1">0</definedName>
    <definedName name="solver_val" localSheetId="7" hidden="1">0</definedName>
    <definedName name="solver_ver" localSheetId="5" hidden="1">3</definedName>
    <definedName name="solver_ver" localSheetId="3" hidden="1">3</definedName>
    <definedName name="solver_ver" localSheetId="2" hidden="1">3</definedName>
    <definedName name="solver_ver" localSheetId="4" hidden="1">3</definedName>
    <definedName name="solver_ver" localSheetId="9" hidden="1">3</definedName>
    <definedName name="solver_ver" localSheetId="1" hidden="1">3</definedName>
    <definedName name="solver_ver" localSheetId="0" hidden="1">3</definedName>
    <definedName name="solver_ver" localSheetId="7" hidden="1">3</definedName>
  </definedNames>
  <calcPr calcId="140001" concurrentCalc="0"/>
  <fileRecoveryPr autoRecover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32" l="1"/>
  <c r="F10" i="32"/>
  <c r="E10" i="32"/>
  <c r="D10" i="32"/>
  <c r="C10" i="32"/>
  <c r="B10" i="32"/>
  <c r="G10" i="30"/>
  <c r="F10" i="30"/>
  <c r="E10" i="30"/>
  <c r="D10" i="30"/>
  <c r="C10" i="30"/>
  <c r="B10" i="30"/>
  <c r="K51" i="15"/>
  <c r="K50" i="15"/>
  <c r="K49" i="15"/>
  <c r="K48" i="15"/>
  <c r="K47" i="15"/>
  <c r="K46" i="15"/>
  <c r="K45" i="15"/>
  <c r="K44" i="15"/>
  <c r="K43" i="15"/>
  <c r="K42" i="15"/>
  <c r="K41" i="15"/>
  <c r="K40" i="15"/>
  <c r="K39" i="15"/>
  <c r="K38" i="15"/>
  <c r="K37" i="15"/>
  <c r="K36" i="15"/>
  <c r="K35" i="15"/>
  <c r="K34" i="15"/>
  <c r="K33" i="15"/>
  <c r="K32" i="15"/>
  <c r="K31" i="15"/>
  <c r="K30" i="15"/>
  <c r="K29" i="15"/>
  <c r="K28" i="15"/>
  <c r="K27" i="15"/>
  <c r="K26" i="15"/>
  <c r="K25" i="15"/>
  <c r="K24" i="15"/>
  <c r="K23" i="15"/>
  <c r="K22" i="15"/>
  <c r="N3" i="15"/>
  <c r="L12" i="15"/>
  <c r="L11" i="15"/>
  <c r="L10" i="15"/>
  <c r="L9" i="15"/>
  <c r="L8" i="15"/>
  <c r="L7" i="15"/>
  <c r="K7" i="15"/>
  <c r="G7" i="15"/>
  <c r="D19" i="29"/>
  <c r="M23" i="15"/>
  <c r="M24" i="15"/>
  <c r="M25" i="15"/>
  <c r="M26" i="15"/>
  <c r="M27" i="15"/>
  <c r="M28" i="15"/>
  <c r="M29" i="15"/>
  <c r="M30" i="15"/>
  <c r="M31" i="15"/>
  <c r="M32" i="15"/>
  <c r="M33" i="15"/>
  <c r="M34" i="15"/>
  <c r="M35" i="15"/>
  <c r="M36" i="15"/>
  <c r="M37" i="15"/>
  <c r="M38" i="15"/>
  <c r="M39" i="15"/>
  <c r="M40" i="15"/>
  <c r="M41" i="15"/>
  <c r="M42" i="15"/>
  <c r="M43" i="15"/>
  <c r="M44" i="15"/>
  <c r="M45" i="15"/>
  <c r="M46" i="15"/>
  <c r="M47" i="15"/>
  <c r="M48" i="15"/>
  <c r="M49" i="15"/>
  <c r="M50" i="15"/>
  <c r="M51" i="15"/>
  <c r="M22" i="15"/>
  <c r="G19" i="15"/>
  <c r="L33" i="15"/>
  <c r="L34" i="15"/>
  <c r="L35" i="15"/>
  <c r="L36" i="15"/>
  <c r="L37" i="15"/>
  <c r="L38" i="15"/>
  <c r="L39" i="15"/>
  <c r="L40" i="15"/>
  <c r="L41" i="15"/>
  <c r="L42" i="15"/>
  <c r="L43" i="15"/>
  <c r="L44" i="15"/>
  <c r="L45" i="15"/>
  <c r="L46" i="15"/>
  <c r="L47" i="15"/>
  <c r="L48" i="15"/>
  <c r="L49" i="15"/>
  <c r="L50" i="15"/>
  <c r="L51" i="15"/>
  <c r="L32" i="15"/>
  <c r="G14" i="15"/>
  <c r="G13" i="15"/>
  <c r="G10" i="15"/>
  <c r="G9" i="15"/>
  <c r="G8" i="15"/>
  <c r="G6" i="15"/>
  <c r="G5" i="15"/>
  <c r="O12" i="15"/>
  <c r="N12" i="15"/>
  <c r="M12" i="15"/>
  <c r="C13" i="29"/>
  <c r="O11" i="15"/>
  <c r="N11" i="15"/>
  <c r="M11" i="15"/>
  <c r="C12" i="29"/>
  <c r="O10" i="15"/>
  <c r="N10" i="15"/>
  <c r="M10" i="15"/>
  <c r="C11" i="29"/>
  <c r="O9" i="15"/>
  <c r="N9" i="15"/>
  <c r="M9" i="15"/>
  <c r="C10" i="29"/>
  <c r="O8" i="15"/>
  <c r="N8" i="15"/>
  <c r="M8" i="15"/>
  <c r="C9" i="29"/>
  <c r="O7" i="15"/>
  <c r="N7" i="15"/>
  <c r="M7" i="15"/>
  <c r="C8" i="29"/>
  <c r="G4" i="15"/>
  <c r="G3" i="15"/>
  <c r="I51" i="41"/>
  <c r="J51" i="41"/>
  <c r="A51" i="41"/>
  <c r="B51" i="41"/>
  <c r="I47" i="41"/>
  <c r="J47" i="41"/>
  <c r="A47" i="41"/>
  <c r="B47" i="41"/>
  <c r="I46" i="41"/>
  <c r="J46" i="41"/>
  <c r="A46" i="41"/>
  <c r="B46" i="41"/>
  <c r="I42" i="41"/>
  <c r="J42" i="41"/>
  <c r="A42" i="41"/>
  <c r="B42" i="41"/>
  <c r="I41" i="41"/>
  <c r="J41" i="41"/>
  <c r="A41" i="41"/>
  <c r="B41" i="41"/>
  <c r="I37" i="41"/>
  <c r="J37" i="41"/>
  <c r="A37" i="41"/>
  <c r="I36" i="41"/>
  <c r="J36" i="41"/>
  <c r="A36" i="41"/>
  <c r="B36" i="41"/>
  <c r="BH35" i="41"/>
  <c r="BU35" i="41"/>
  <c r="BH34" i="41"/>
  <c r="BU34" i="41"/>
  <c r="BH33" i="41"/>
  <c r="BU33" i="41"/>
  <c r="BH32" i="41"/>
  <c r="BU32" i="41"/>
  <c r="I32" i="41"/>
  <c r="J32" i="41"/>
  <c r="A32" i="41"/>
  <c r="B32" i="41"/>
  <c r="BH31" i="41"/>
  <c r="BU31" i="41"/>
  <c r="I31" i="41"/>
  <c r="J31" i="41"/>
  <c r="A31" i="41"/>
  <c r="B31" i="41"/>
  <c r="BH30" i="41"/>
  <c r="BU30" i="41"/>
  <c r="BH29" i="41"/>
  <c r="BU29" i="41"/>
  <c r="BH28" i="41"/>
  <c r="BU28" i="41"/>
  <c r="BH27" i="41"/>
  <c r="BU27" i="41"/>
  <c r="I27" i="41"/>
  <c r="J27" i="41"/>
  <c r="A27" i="41"/>
  <c r="BH26" i="41"/>
  <c r="BU26" i="41"/>
  <c r="I26" i="41"/>
  <c r="J26" i="41"/>
  <c r="A26" i="41"/>
  <c r="B26" i="41"/>
  <c r="BH25" i="41"/>
  <c r="BU25" i="41"/>
  <c r="BH24" i="41"/>
  <c r="BU24" i="41"/>
  <c r="BH23" i="41"/>
  <c r="BU23" i="41"/>
  <c r="BH22" i="41"/>
  <c r="BU22" i="41"/>
  <c r="I22" i="41"/>
  <c r="J22" i="41"/>
  <c r="A22" i="41"/>
  <c r="BH21" i="41"/>
  <c r="BU21" i="41"/>
  <c r="BH20" i="41"/>
  <c r="BU20" i="41"/>
  <c r="BH19" i="41"/>
  <c r="BU19" i="41"/>
  <c r="H19" i="41"/>
  <c r="N21" i="41"/>
  <c r="BH18" i="41"/>
  <c r="BU18" i="41"/>
  <c r="S18" i="41"/>
  <c r="BH17" i="41"/>
  <c r="BU17" i="41"/>
  <c r="BH16" i="41"/>
  <c r="BU16" i="41"/>
  <c r="H15" i="41"/>
  <c r="BH14" i="41"/>
  <c r="BU14" i="41"/>
  <c r="H14" i="41"/>
  <c r="BH13" i="41"/>
  <c r="BU13" i="41"/>
  <c r="H13" i="41"/>
  <c r="H3" i="41"/>
  <c r="BH12" i="41"/>
  <c r="BU12" i="41"/>
  <c r="K12" i="41"/>
  <c r="BH11" i="41"/>
  <c r="BU11" i="41"/>
  <c r="K11" i="41"/>
  <c r="BH10" i="41"/>
  <c r="BU10" i="41"/>
  <c r="K10" i="41"/>
  <c r="H10" i="41"/>
  <c r="BH9" i="41"/>
  <c r="BU9" i="41"/>
  <c r="K9" i="41"/>
  <c r="BH8" i="41"/>
  <c r="BU8" i="41"/>
  <c r="K8" i="41"/>
  <c r="BH7" i="41"/>
  <c r="BU7" i="41"/>
  <c r="BH6" i="41"/>
  <c r="BU6" i="41"/>
  <c r="BH5" i="41"/>
  <c r="BU5" i="41"/>
  <c r="H4" i="41"/>
  <c r="A33" i="41"/>
  <c r="B33" i="41"/>
  <c r="A35" i="41"/>
  <c r="B35" i="41"/>
  <c r="A34" i="41"/>
  <c r="B34" i="41"/>
  <c r="A30" i="41"/>
  <c r="B30" i="41"/>
  <c r="A24" i="41"/>
  <c r="B24" i="41"/>
  <c r="A48" i="41"/>
  <c r="B48" i="41"/>
  <c r="A50" i="41"/>
  <c r="B50" i="41"/>
  <c r="A49" i="41"/>
  <c r="B49" i="41"/>
  <c r="B22" i="41"/>
  <c r="A38" i="41"/>
  <c r="B38" i="41"/>
  <c r="B37" i="41"/>
  <c r="A40" i="41"/>
  <c r="B40" i="41"/>
  <c r="A39" i="41"/>
  <c r="B39" i="41"/>
  <c r="A29" i="41"/>
  <c r="B29" i="41"/>
  <c r="A28" i="41"/>
  <c r="B28" i="41"/>
  <c r="H9" i="41"/>
  <c r="A25" i="41"/>
  <c r="B25" i="41"/>
  <c r="A23" i="41"/>
  <c r="B23" i="41"/>
  <c r="A45" i="41"/>
  <c r="B45" i="41"/>
  <c r="A44" i="41"/>
  <c r="B44" i="41"/>
  <c r="B27" i="41"/>
  <c r="A43" i="41"/>
  <c r="B43" i="41"/>
  <c r="E144" i="27"/>
  <c r="B6" i="30"/>
  <c r="B5" i="30"/>
  <c r="H19" i="15"/>
  <c r="K8" i="15"/>
  <c r="C5" i="30"/>
  <c r="C6" i="30"/>
  <c r="K9" i="15"/>
  <c r="D5" i="30"/>
  <c r="D6" i="30"/>
  <c r="K10" i="15"/>
  <c r="X4" i="37"/>
  <c r="E6" i="30"/>
  <c r="K11" i="15"/>
  <c r="AC4" i="37"/>
  <c r="F6" i="30"/>
  <c r="K12" i="15"/>
  <c r="G5" i="30"/>
  <c r="G6" i="30"/>
  <c r="H13" i="15"/>
  <c r="B17" i="32"/>
  <c r="B16" i="32"/>
  <c r="B6" i="31"/>
  <c r="B8" i="31"/>
  <c r="B5" i="31"/>
  <c r="B7" i="31"/>
  <c r="H15" i="15"/>
  <c r="C6" i="31"/>
  <c r="C8" i="31"/>
  <c r="D6" i="31"/>
  <c r="D8" i="31"/>
  <c r="E6" i="31"/>
  <c r="E8" i="31"/>
  <c r="F6" i="31"/>
  <c r="F8" i="31"/>
  <c r="G6" i="31"/>
  <c r="G8" i="31"/>
  <c r="I31" i="15"/>
  <c r="J31" i="15"/>
  <c r="I27" i="15"/>
  <c r="J27" i="15"/>
  <c r="I26" i="15"/>
  <c r="J26" i="15"/>
  <c r="I22" i="15"/>
  <c r="J22" i="15"/>
  <c r="C36" i="32"/>
  <c r="B36" i="32"/>
  <c r="B36" i="30"/>
  <c r="C36" i="30"/>
  <c r="T20" i="29"/>
  <c r="T14" i="29"/>
  <c r="P17" i="29"/>
  <c r="O29" i="29"/>
  <c r="O28" i="29"/>
  <c r="G37" i="32"/>
  <c r="C37" i="32"/>
  <c r="F37" i="32"/>
  <c r="E37" i="32"/>
  <c r="D52" i="32"/>
  <c r="D51" i="32"/>
  <c r="D50" i="32"/>
  <c r="D49" i="32"/>
  <c r="D48" i="32"/>
  <c r="D47" i="32"/>
  <c r="C52" i="32"/>
  <c r="C51" i="32"/>
  <c r="C50" i="32"/>
  <c r="C49" i="32"/>
  <c r="C48" i="32"/>
  <c r="C47" i="32"/>
  <c r="D52" i="30"/>
  <c r="D51" i="30"/>
  <c r="D50" i="30"/>
  <c r="D49" i="30"/>
  <c r="D48" i="30"/>
  <c r="D47" i="30"/>
  <c r="C52" i="30"/>
  <c r="C51" i="30"/>
  <c r="C50" i="30"/>
  <c r="C49" i="30"/>
  <c r="C48" i="30"/>
  <c r="C47" i="30"/>
  <c r="H14" i="15"/>
  <c r="AG32" i="37"/>
  <c r="AH32" i="37"/>
  <c r="AI32" i="37"/>
  <c r="AJ32" i="37"/>
  <c r="AA32" i="37"/>
  <c r="AB32" i="37"/>
  <c r="AC32" i="37"/>
  <c r="AD32" i="37"/>
  <c r="U32" i="37"/>
  <c r="V32" i="37"/>
  <c r="W32" i="37"/>
  <c r="X32" i="37"/>
  <c r="AG5" i="37"/>
  <c r="AH5" i="37"/>
  <c r="AI5" i="37"/>
  <c r="AJ5" i="37"/>
  <c r="AF5" i="37"/>
  <c r="AA5" i="37"/>
  <c r="AB5" i="37"/>
  <c r="AC5" i="37"/>
  <c r="AD5" i="37"/>
  <c r="Z5" i="37"/>
  <c r="U5" i="37"/>
  <c r="V5" i="37"/>
  <c r="W5" i="37"/>
  <c r="X5" i="37"/>
  <c r="T5" i="37"/>
  <c r="O5" i="37"/>
  <c r="P5" i="37"/>
  <c r="Q5" i="37"/>
  <c r="R5" i="37"/>
  <c r="N5" i="37"/>
  <c r="I5" i="37"/>
  <c r="J5" i="37"/>
  <c r="K5" i="37"/>
  <c r="L5" i="37"/>
  <c r="H5" i="37"/>
  <c r="C5" i="37"/>
  <c r="D5" i="37"/>
  <c r="E5" i="37"/>
  <c r="F5" i="37"/>
  <c r="B5" i="37"/>
  <c r="C4" i="37"/>
  <c r="D4" i="37"/>
  <c r="E4" i="37"/>
  <c r="F4" i="37"/>
  <c r="AF32" i="37"/>
  <c r="Z32" i="37"/>
  <c r="T32" i="37"/>
  <c r="B4" i="37"/>
  <c r="E139" i="27"/>
  <c r="D139" i="27"/>
  <c r="G144" i="27"/>
  <c r="G139" i="27"/>
  <c r="F139" i="27"/>
  <c r="C9" i="31"/>
  <c r="I47" i="15"/>
  <c r="J47" i="15"/>
  <c r="I51" i="15"/>
  <c r="J51" i="15"/>
  <c r="O17" i="29"/>
  <c r="O15" i="29"/>
  <c r="O16" i="29"/>
  <c r="O14" i="29"/>
  <c r="R12" i="29"/>
  <c r="D13" i="29"/>
  <c r="R11" i="29"/>
  <c r="D12" i="29"/>
  <c r="R10" i="29"/>
  <c r="D11" i="29"/>
  <c r="R9" i="29"/>
  <c r="D10" i="29"/>
  <c r="R8" i="29"/>
  <c r="D9" i="29"/>
  <c r="R7" i="29"/>
  <c r="D8" i="29"/>
  <c r="O8" i="29"/>
  <c r="O9" i="29"/>
  <c r="O10" i="29"/>
  <c r="O11" i="29"/>
  <c r="O12" i="29"/>
  <c r="O7" i="29"/>
  <c r="B5" i="32"/>
  <c r="B7" i="32"/>
  <c r="D25" i="29"/>
  <c r="O27" i="29"/>
  <c r="I46" i="15"/>
  <c r="J46" i="15"/>
  <c r="I42" i="15"/>
  <c r="J42" i="15"/>
  <c r="I41" i="15"/>
  <c r="J41" i="15"/>
  <c r="I37" i="15"/>
  <c r="J37" i="15"/>
  <c r="I36" i="15"/>
  <c r="J36" i="15"/>
  <c r="I32" i="15"/>
  <c r="J32" i="15"/>
  <c r="O21" i="29"/>
  <c r="D20" i="29"/>
  <c r="O22" i="29"/>
  <c r="D21" i="29"/>
  <c r="O23" i="29"/>
  <c r="D22" i="29"/>
  <c r="O24" i="29"/>
  <c r="D23" i="29"/>
  <c r="O25" i="29"/>
  <c r="D24" i="29"/>
  <c r="O26" i="29"/>
  <c r="D18" i="29"/>
  <c r="O20" i="29"/>
  <c r="G9" i="31"/>
  <c r="F9" i="31"/>
  <c r="E9" i="31"/>
  <c r="D9" i="31"/>
  <c r="B9" i="31"/>
  <c r="E31" i="31"/>
  <c r="F31" i="31"/>
  <c r="G31" i="31"/>
  <c r="D42" i="31"/>
  <c r="C42" i="31"/>
  <c r="D41" i="31"/>
  <c r="C41" i="31"/>
  <c r="D40" i="31"/>
  <c r="C40" i="31"/>
  <c r="D39" i="31"/>
  <c r="C39" i="31"/>
  <c r="D38" i="31"/>
  <c r="C38" i="31"/>
  <c r="D37" i="31"/>
  <c r="C37" i="31"/>
  <c r="G37" i="30"/>
  <c r="C37" i="30"/>
  <c r="F37" i="30"/>
  <c r="E37" i="30"/>
  <c r="P9" i="29"/>
  <c r="A51" i="15"/>
  <c r="B51" i="15"/>
  <c r="A47" i="15"/>
  <c r="B47" i="15"/>
  <c r="A46" i="15"/>
  <c r="B46" i="15"/>
  <c r="A42" i="15"/>
  <c r="A41" i="15"/>
  <c r="B41" i="15"/>
  <c r="A37" i="15"/>
  <c r="B37" i="15"/>
  <c r="A36" i="15"/>
  <c r="A32" i="15"/>
  <c r="A31" i="15"/>
  <c r="A27" i="15"/>
  <c r="B27" i="15"/>
  <c r="A26" i="15"/>
  <c r="B26" i="15"/>
  <c r="A22" i="15"/>
  <c r="H11" i="29"/>
  <c r="Q10" i="29"/>
  <c r="BH7" i="15"/>
  <c r="BU7" i="15"/>
  <c r="BH8" i="15"/>
  <c r="BU8" i="15"/>
  <c r="BH9" i="15"/>
  <c r="BU9" i="15"/>
  <c r="BH10" i="15"/>
  <c r="BU10" i="15"/>
  <c r="BH11" i="15"/>
  <c r="BU11" i="15"/>
  <c r="BH12" i="15"/>
  <c r="BU12" i="15"/>
  <c r="BH13" i="15"/>
  <c r="BU13" i="15"/>
  <c r="BH14" i="15"/>
  <c r="BU14" i="15"/>
  <c r="BH16" i="15"/>
  <c r="BU16" i="15"/>
  <c r="BH17" i="15"/>
  <c r="BU17" i="15"/>
  <c r="BH18" i="15"/>
  <c r="BU18" i="15"/>
  <c r="BH19" i="15"/>
  <c r="BU19" i="15"/>
  <c r="BH20" i="15"/>
  <c r="BU20" i="15"/>
  <c r="BH21" i="15"/>
  <c r="BU21" i="15"/>
  <c r="BH22" i="15"/>
  <c r="BU22" i="15"/>
  <c r="BH23" i="15"/>
  <c r="BU23" i="15"/>
  <c r="BH24" i="15"/>
  <c r="BU24" i="15"/>
  <c r="BH25" i="15"/>
  <c r="BU25" i="15"/>
  <c r="BH26" i="15"/>
  <c r="BU26" i="15"/>
  <c r="BH27" i="15"/>
  <c r="BU27" i="15"/>
  <c r="BH28" i="15"/>
  <c r="BU28" i="15"/>
  <c r="BH29" i="15"/>
  <c r="BU29" i="15"/>
  <c r="BH30" i="15"/>
  <c r="BU30" i="15"/>
  <c r="BH31" i="15"/>
  <c r="BU31" i="15"/>
  <c r="BH32" i="15"/>
  <c r="BU32" i="15"/>
  <c r="BH33" i="15"/>
  <c r="BU33" i="15"/>
  <c r="BH34" i="15"/>
  <c r="BU34" i="15"/>
  <c r="BH35" i="15"/>
  <c r="BU35" i="15"/>
  <c r="BH6" i="15"/>
  <c r="BU6" i="15"/>
  <c r="BH5" i="15"/>
  <c r="BU5" i="15"/>
  <c r="H10" i="15"/>
  <c r="S18" i="15"/>
  <c r="Q11" i="29"/>
  <c r="Q12" i="29"/>
  <c r="Q8" i="29"/>
  <c r="AI4" i="37"/>
  <c r="Q9" i="29"/>
  <c r="Q7" i="29"/>
  <c r="L4" i="37"/>
  <c r="B17" i="30"/>
  <c r="B16" i="30"/>
  <c r="E162" i="27"/>
  <c r="E15" i="27"/>
  <c r="K4" i="37"/>
  <c r="E163" i="27"/>
  <c r="F4" i="27"/>
  <c r="E17" i="32"/>
  <c r="E16" i="32"/>
  <c r="B10" i="31"/>
  <c r="G10" i="31"/>
  <c r="D10" i="31"/>
  <c r="P10" i="29"/>
  <c r="E10" i="31"/>
  <c r="P8" i="29"/>
  <c r="C10" i="31"/>
  <c r="P11" i="29"/>
  <c r="F10" i="31"/>
  <c r="J4" i="37"/>
  <c r="J12" i="37"/>
  <c r="AH4" i="37"/>
  <c r="C17" i="32"/>
  <c r="C16" i="32"/>
  <c r="W4" i="37"/>
  <c r="W12" i="37"/>
  <c r="AJ4" i="37"/>
  <c r="AJ12" i="37"/>
  <c r="G8" i="30"/>
  <c r="G7" i="30"/>
  <c r="C8" i="30"/>
  <c r="C7" i="30"/>
  <c r="B8" i="30"/>
  <c r="B7" i="30"/>
  <c r="F8" i="30"/>
  <c r="F7" i="30"/>
  <c r="D8" i="30"/>
  <c r="D7" i="30"/>
  <c r="E8" i="30"/>
  <c r="E7" i="30"/>
  <c r="AF4" i="37"/>
  <c r="AF12" i="37"/>
  <c r="A30" i="15"/>
  <c r="B30" i="15"/>
  <c r="H4" i="37"/>
  <c r="H12" i="37"/>
  <c r="I4" i="37"/>
  <c r="I12" i="37"/>
  <c r="AG4" i="37"/>
  <c r="AG12" i="37"/>
  <c r="G17" i="32"/>
  <c r="G16" i="32"/>
  <c r="L12" i="37"/>
  <c r="O4" i="37"/>
  <c r="O12" i="37"/>
  <c r="C5" i="31"/>
  <c r="A39" i="15"/>
  <c r="B39" i="15"/>
  <c r="A38" i="15"/>
  <c r="B38" i="15"/>
  <c r="R4" i="37"/>
  <c r="R12" i="37"/>
  <c r="A45" i="15"/>
  <c r="B45" i="15"/>
  <c r="G5" i="31"/>
  <c r="E12" i="37"/>
  <c r="F12" i="37"/>
  <c r="C12" i="37"/>
  <c r="E9" i="29"/>
  <c r="E13" i="29"/>
  <c r="E8" i="29"/>
  <c r="E12" i="29"/>
  <c r="E11" i="29"/>
  <c r="E10" i="29"/>
  <c r="N4" i="37"/>
  <c r="N12" i="37"/>
  <c r="Q4" i="37"/>
  <c r="Q12" i="37"/>
  <c r="D5" i="31"/>
  <c r="P4" i="37"/>
  <c r="P12" i="37"/>
  <c r="D17" i="32"/>
  <c r="D16" i="32"/>
  <c r="B16" i="31"/>
  <c r="B15" i="31"/>
  <c r="A33" i="15"/>
  <c r="B33" i="15"/>
  <c r="B32" i="15"/>
  <c r="A48" i="15"/>
  <c r="B48" i="15"/>
  <c r="A40" i="15"/>
  <c r="B40" i="15"/>
  <c r="C32" i="41"/>
  <c r="I34" i="41"/>
  <c r="J34" i="41"/>
  <c r="P7" i="29"/>
  <c r="A25" i="15"/>
  <c r="B25" i="15"/>
  <c r="P12" i="29"/>
  <c r="F5" i="31"/>
  <c r="AA4" i="37"/>
  <c r="AD4" i="37"/>
  <c r="AD12" i="37"/>
  <c r="Z4" i="37"/>
  <c r="Z12" i="37"/>
  <c r="B42" i="15"/>
  <c r="AC12" i="37"/>
  <c r="A44" i="15"/>
  <c r="B44" i="15"/>
  <c r="A43" i="15"/>
  <c r="B43" i="15"/>
  <c r="B31" i="15"/>
  <c r="F17" i="32"/>
  <c r="F16" i="32"/>
  <c r="F5" i="30"/>
  <c r="D17" i="30"/>
  <c r="D16" i="30"/>
  <c r="A35" i="15"/>
  <c r="B35" i="15"/>
  <c r="B36" i="15"/>
  <c r="A34" i="15"/>
  <c r="B34" i="15"/>
  <c r="A50" i="15"/>
  <c r="B50" i="15"/>
  <c r="A49" i="15"/>
  <c r="B49" i="15"/>
  <c r="E5" i="31"/>
  <c r="V4" i="37"/>
  <c r="V12" i="37"/>
  <c r="T4" i="37"/>
  <c r="E5" i="30"/>
  <c r="U4" i="37"/>
  <c r="U12" i="37"/>
  <c r="H9" i="15"/>
  <c r="AB4" i="37"/>
  <c r="N21" i="15"/>
  <c r="A29" i="15"/>
  <c r="B29" i="15"/>
  <c r="A28" i="15"/>
  <c r="B28" i="15"/>
  <c r="B12" i="37"/>
  <c r="AH12" i="37"/>
  <c r="F144" i="27"/>
  <c r="D12" i="37"/>
  <c r="K12" i="37"/>
  <c r="AI12" i="37"/>
  <c r="X12" i="37"/>
  <c r="G17" i="30"/>
  <c r="G16" i="30"/>
  <c r="B22" i="15"/>
  <c r="A24" i="15"/>
  <c r="B24" i="15"/>
  <c r="A23" i="15"/>
  <c r="B23" i="15"/>
  <c r="F16" i="27"/>
  <c r="F32" i="27"/>
  <c r="F48" i="27"/>
  <c r="F64" i="27"/>
  <c r="F80" i="27"/>
  <c r="F96" i="27"/>
  <c r="F112" i="27"/>
  <c r="F128" i="27"/>
  <c r="F30" i="27"/>
  <c r="F54" i="27"/>
  <c r="F74" i="27"/>
  <c r="F98" i="27"/>
  <c r="F118" i="27"/>
  <c r="F9" i="27"/>
  <c r="F33" i="27"/>
  <c r="F53" i="27"/>
  <c r="F77" i="27"/>
  <c r="F105" i="27"/>
  <c r="F3" i="27"/>
  <c r="F19" i="27"/>
  <c r="F35" i="27"/>
  <c r="F51" i="27"/>
  <c r="F67" i="27"/>
  <c r="F83" i="27"/>
  <c r="F99" i="27"/>
  <c r="F115" i="27"/>
  <c r="F131" i="27"/>
  <c r="F26" i="27"/>
  <c r="F78" i="27"/>
  <c r="F17" i="27"/>
  <c r="F73" i="27"/>
  <c r="F109" i="27"/>
  <c r="C17" i="30"/>
  <c r="C16" i="30"/>
  <c r="C42" i="41"/>
  <c r="N45" i="41"/>
  <c r="I45" i="41"/>
  <c r="J45" i="41"/>
  <c r="C47" i="41"/>
  <c r="I49" i="41"/>
  <c r="J49" i="41"/>
  <c r="E55" i="27"/>
  <c r="D144" i="27"/>
  <c r="C37" i="41"/>
  <c r="N38" i="41"/>
  <c r="I38" i="41"/>
  <c r="J38" i="41"/>
  <c r="C22" i="41"/>
  <c r="I24" i="41"/>
  <c r="J24" i="41"/>
  <c r="C27" i="41"/>
  <c r="N30" i="41"/>
  <c r="I30" i="41"/>
  <c r="J30" i="41"/>
  <c r="I23" i="32"/>
  <c r="I23" i="30"/>
  <c r="H4" i="15"/>
  <c r="D26" i="29"/>
  <c r="H3" i="15"/>
  <c r="E85" i="27"/>
  <c r="E22" i="27"/>
  <c r="E108" i="27"/>
  <c r="E21" i="27"/>
  <c r="E107" i="27"/>
  <c r="E86" i="27"/>
  <c r="E11" i="27"/>
  <c r="E69" i="27"/>
  <c r="E70" i="27"/>
  <c r="E119" i="27"/>
  <c r="E44" i="27"/>
  <c r="E43" i="27"/>
  <c r="F43" i="27"/>
  <c r="G43" i="27"/>
  <c r="E117" i="27"/>
  <c r="E53" i="27"/>
  <c r="G53" i="27"/>
  <c r="E118" i="27"/>
  <c r="E54" i="27"/>
  <c r="G54" i="27"/>
  <c r="E63" i="27"/>
  <c r="E56" i="27"/>
  <c r="E96" i="27"/>
  <c r="E12" i="27"/>
  <c r="E5" i="27"/>
  <c r="E6" i="27"/>
  <c r="E76" i="27"/>
  <c r="E75" i="27"/>
  <c r="E101" i="27"/>
  <c r="E37" i="27"/>
  <c r="E102" i="27"/>
  <c r="E38" i="27"/>
  <c r="F38" i="27"/>
  <c r="G38" i="27"/>
  <c r="E127" i="27"/>
  <c r="E120" i="27"/>
  <c r="N35" i="41"/>
  <c r="I35" i="41"/>
  <c r="J35" i="41"/>
  <c r="I33" i="41"/>
  <c r="J33" i="41"/>
  <c r="X17" i="41"/>
  <c r="BT17" i="41"/>
  <c r="E20" i="27"/>
  <c r="E52" i="27"/>
  <c r="E84" i="27"/>
  <c r="E116" i="27"/>
  <c r="E19" i="27"/>
  <c r="G19" i="27"/>
  <c r="E51" i="27"/>
  <c r="E83" i="27"/>
  <c r="G83" i="27"/>
  <c r="E115" i="27"/>
  <c r="E129" i="27"/>
  <c r="F129" i="27"/>
  <c r="G129" i="27"/>
  <c r="E113" i="27"/>
  <c r="E97" i="27"/>
  <c r="E81" i="27"/>
  <c r="E65" i="27"/>
  <c r="E49" i="27"/>
  <c r="E33" i="27"/>
  <c r="G33" i="27"/>
  <c r="E17" i="27"/>
  <c r="E130" i="27"/>
  <c r="F130" i="27"/>
  <c r="G130" i="27"/>
  <c r="E114" i="27"/>
  <c r="E98" i="27"/>
  <c r="G98" i="27"/>
  <c r="E82" i="27"/>
  <c r="E66" i="27"/>
  <c r="E50" i="27"/>
  <c r="E34" i="27"/>
  <c r="E18" i="27"/>
  <c r="E2" i="27"/>
  <c r="E79" i="27"/>
  <c r="E7" i="27"/>
  <c r="E71" i="27"/>
  <c r="E8" i="27"/>
  <c r="F8" i="27"/>
  <c r="G8" i="27"/>
  <c r="E72" i="27"/>
  <c r="E48" i="27"/>
  <c r="G48" i="27"/>
  <c r="E64" i="27"/>
  <c r="F101" i="27"/>
  <c r="G101" i="27"/>
  <c r="F57" i="27"/>
  <c r="F122" i="27"/>
  <c r="F58" i="27"/>
  <c r="F14" i="27"/>
  <c r="F127" i="27"/>
  <c r="F111" i="27"/>
  <c r="F95" i="27"/>
  <c r="F79" i="27"/>
  <c r="G79" i="27"/>
  <c r="F63" i="27"/>
  <c r="F47" i="27"/>
  <c r="F31" i="27"/>
  <c r="F15" i="27"/>
  <c r="G15" i="27"/>
  <c r="F97" i="27"/>
  <c r="F69" i="27"/>
  <c r="F49" i="27"/>
  <c r="F25" i="27"/>
  <c r="F5" i="27"/>
  <c r="F114" i="27"/>
  <c r="F90" i="27"/>
  <c r="F70" i="27"/>
  <c r="F50" i="27"/>
  <c r="F22" i="27"/>
  <c r="F124" i="27"/>
  <c r="E124" i="27"/>
  <c r="G124" i="27"/>
  <c r="F108" i="27"/>
  <c r="F92" i="27"/>
  <c r="F76" i="27"/>
  <c r="F60" i="27"/>
  <c r="F44" i="27"/>
  <c r="G44" i="27"/>
  <c r="F28" i="27"/>
  <c r="F12" i="27"/>
  <c r="E28" i="27"/>
  <c r="E60" i="27"/>
  <c r="E92" i="27"/>
  <c r="E27" i="27"/>
  <c r="F27" i="27"/>
  <c r="G27" i="27"/>
  <c r="E59" i="27"/>
  <c r="E91" i="27"/>
  <c r="E123" i="27"/>
  <c r="E125" i="27"/>
  <c r="E109" i="27"/>
  <c r="G109" i="27"/>
  <c r="E93" i="27"/>
  <c r="E77" i="27"/>
  <c r="E61" i="27"/>
  <c r="E45" i="27"/>
  <c r="E29" i="27"/>
  <c r="E13" i="27"/>
  <c r="E126" i="27"/>
  <c r="E110" i="27"/>
  <c r="E94" i="27"/>
  <c r="E78" i="27"/>
  <c r="E62" i="27"/>
  <c r="F62" i="27"/>
  <c r="G62" i="27"/>
  <c r="E46" i="27"/>
  <c r="E30" i="27"/>
  <c r="G30" i="27"/>
  <c r="E14" i="27"/>
  <c r="E31" i="27"/>
  <c r="G31" i="27"/>
  <c r="E95" i="27"/>
  <c r="G95" i="27"/>
  <c r="E23" i="27"/>
  <c r="E87" i="27"/>
  <c r="E24" i="27"/>
  <c r="E88" i="27"/>
  <c r="N33" i="41"/>
  <c r="E128" i="27"/>
  <c r="F125" i="27"/>
  <c r="F93" i="27"/>
  <c r="F45" i="27"/>
  <c r="F110" i="27"/>
  <c r="F46" i="27"/>
  <c r="G46" i="27"/>
  <c r="F6" i="27"/>
  <c r="G6" i="27"/>
  <c r="F123" i="27"/>
  <c r="F107" i="27"/>
  <c r="F91" i="27"/>
  <c r="F75" i="27"/>
  <c r="F59" i="27"/>
  <c r="F11" i="27"/>
  <c r="G11" i="27"/>
  <c r="F121" i="27"/>
  <c r="F89" i="27"/>
  <c r="F65" i="27"/>
  <c r="F41" i="27"/>
  <c r="F21" i="27"/>
  <c r="F106" i="27"/>
  <c r="F86" i="27"/>
  <c r="F66" i="27"/>
  <c r="F42" i="27"/>
  <c r="F18" i="27"/>
  <c r="F120" i="27"/>
  <c r="F104" i="27"/>
  <c r="F88" i="27"/>
  <c r="F72" i="27"/>
  <c r="G72" i="27"/>
  <c r="F56" i="27"/>
  <c r="F40" i="27"/>
  <c r="F24" i="27"/>
  <c r="E32" i="27"/>
  <c r="G32" i="27"/>
  <c r="E4" i="27"/>
  <c r="E36" i="27"/>
  <c r="E68" i="27"/>
  <c r="E100" i="27"/>
  <c r="E3" i="27"/>
  <c r="G3" i="27"/>
  <c r="E35" i="27"/>
  <c r="G35" i="27"/>
  <c r="E67" i="27"/>
  <c r="G67" i="27"/>
  <c r="E99" i="27"/>
  <c r="G99" i="27"/>
  <c r="E131" i="27"/>
  <c r="G131" i="27"/>
  <c r="E121" i="27"/>
  <c r="E105" i="27"/>
  <c r="G105" i="27"/>
  <c r="E89" i="27"/>
  <c r="E73" i="27"/>
  <c r="G73" i="27"/>
  <c r="E57" i="27"/>
  <c r="G57" i="27"/>
  <c r="E41" i="27"/>
  <c r="E25" i="27"/>
  <c r="E9" i="27"/>
  <c r="G9" i="27"/>
  <c r="E122" i="27"/>
  <c r="E106" i="27"/>
  <c r="G106" i="27"/>
  <c r="E90" i="27"/>
  <c r="E74" i="27"/>
  <c r="G74" i="27"/>
  <c r="E58" i="27"/>
  <c r="G58" i="27"/>
  <c r="E42" i="27"/>
  <c r="G42" i="27"/>
  <c r="E26" i="27"/>
  <c r="E10" i="27"/>
  <c r="E47" i="27"/>
  <c r="E111" i="27"/>
  <c r="E39" i="27"/>
  <c r="E103" i="27"/>
  <c r="E40" i="27"/>
  <c r="E104" i="27"/>
  <c r="E16" i="27"/>
  <c r="G16" i="27"/>
  <c r="F117" i="27"/>
  <c r="F81" i="27"/>
  <c r="F29" i="27"/>
  <c r="F94" i="27"/>
  <c r="F34" i="27"/>
  <c r="F2" i="27"/>
  <c r="F119" i="27"/>
  <c r="F103" i="27"/>
  <c r="F87" i="27"/>
  <c r="F71" i="27"/>
  <c r="G71" i="27"/>
  <c r="F55" i="27"/>
  <c r="G55" i="27"/>
  <c r="F39" i="27"/>
  <c r="F23" i="27"/>
  <c r="F7" i="27"/>
  <c r="F113" i="27"/>
  <c r="F85" i="27"/>
  <c r="G85" i="27"/>
  <c r="F61" i="27"/>
  <c r="F37" i="27"/>
  <c r="F13" i="27"/>
  <c r="G13" i="27"/>
  <c r="F126" i="27"/>
  <c r="F102" i="27"/>
  <c r="G102" i="27"/>
  <c r="F82" i="27"/>
  <c r="G82" i="27"/>
  <c r="F10" i="27"/>
  <c r="F116" i="27"/>
  <c r="G116" i="27"/>
  <c r="F100" i="27"/>
  <c r="F84" i="27"/>
  <c r="F68" i="27"/>
  <c r="F52" i="27"/>
  <c r="F36" i="27"/>
  <c r="F20" i="27"/>
  <c r="E112" i="27"/>
  <c r="G112" i="27"/>
  <c r="E80" i="27"/>
  <c r="G80" i="27"/>
  <c r="G65" i="27"/>
  <c r="G18" i="27"/>
  <c r="C16" i="31"/>
  <c r="C15" i="31"/>
  <c r="C7" i="31"/>
  <c r="G16" i="31"/>
  <c r="G15" i="31"/>
  <c r="G7" i="31"/>
  <c r="E16" i="31"/>
  <c r="E15" i="31"/>
  <c r="E7" i="31"/>
  <c r="F16" i="31"/>
  <c r="F15" i="31"/>
  <c r="F7" i="31"/>
  <c r="D16" i="31"/>
  <c r="D15" i="31"/>
  <c r="D7" i="31"/>
  <c r="G125" i="27"/>
  <c r="G45" i="27"/>
  <c r="G88" i="27"/>
  <c r="F17" i="30"/>
  <c r="F16" i="30"/>
  <c r="E17" i="30"/>
  <c r="E16" i="30"/>
  <c r="G86" i="27"/>
  <c r="G89" i="27"/>
  <c r="C37" i="15"/>
  <c r="N40" i="15"/>
  <c r="I40" i="15"/>
  <c r="J40" i="15"/>
  <c r="G128" i="27"/>
  <c r="G26" i="27"/>
  <c r="C32" i="15"/>
  <c r="N33" i="15"/>
  <c r="I33" i="15"/>
  <c r="J33" i="15"/>
  <c r="G78" i="27"/>
  <c r="G51" i="27"/>
  <c r="G115" i="27"/>
  <c r="G17" i="27"/>
  <c r="G96" i="27"/>
  <c r="T12" i="37"/>
  <c r="C27" i="15"/>
  <c r="N30" i="15"/>
  <c r="I30" i="15"/>
  <c r="J30" i="15"/>
  <c r="C47" i="15"/>
  <c r="N48" i="15"/>
  <c r="I48" i="15"/>
  <c r="J48" i="15"/>
  <c r="C42" i="15"/>
  <c r="N45" i="15"/>
  <c r="I45" i="15"/>
  <c r="J45" i="15"/>
  <c r="AB12" i="37"/>
  <c r="G77" i="27"/>
  <c r="G64" i="27"/>
  <c r="G118" i="27"/>
  <c r="AA12" i="37"/>
  <c r="G52" i="27"/>
  <c r="G81" i="27"/>
  <c r="G114" i="27"/>
  <c r="C22" i="15"/>
  <c r="I24" i="15"/>
  <c r="J24" i="15"/>
  <c r="G4" i="27"/>
  <c r="G36" i="27"/>
  <c r="G25" i="27"/>
  <c r="I44" i="41"/>
  <c r="J44" i="41"/>
  <c r="J4" i="27" a="1"/>
  <c r="G12" i="27"/>
  <c r="G76" i="27"/>
  <c r="G108" i="27"/>
  <c r="G69" i="27"/>
  <c r="G37" i="27"/>
  <c r="G70" i="27"/>
  <c r="G22" i="27"/>
  <c r="G63" i="27"/>
  <c r="G127" i="27"/>
  <c r="G92" i="27"/>
  <c r="G14" i="27"/>
  <c r="N43" i="41"/>
  <c r="I43" i="41"/>
  <c r="J43" i="41"/>
  <c r="N50" i="41"/>
  <c r="I50" i="41"/>
  <c r="J50" i="41"/>
  <c r="N48" i="41"/>
  <c r="I48" i="41"/>
  <c r="J48" i="41"/>
  <c r="X16" i="41"/>
  <c r="AQ16" i="41"/>
  <c r="N40" i="41"/>
  <c r="I40" i="41"/>
  <c r="J40" i="41"/>
  <c r="J3" i="27" a="1"/>
  <c r="N28" i="41"/>
  <c r="I28" i="41"/>
  <c r="J28" i="41"/>
  <c r="N25" i="41"/>
  <c r="I25" i="41"/>
  <c r="J25" i="41"/>
  <c r="I39" i="41"/>
  <c r="J39" i="41"/>
  <c r="I29" i="41"/>
  <c r="J29" i="41"/>
  <c r="N23" i="41"/>
  <c r="I23" i="41"/>
  <c r="J23" i="41"/>
  <c r="X18" i="41"/>
  <c r="AQ18" i="41"/>
  <c r="X30" i="41"/>
  <c r="G2" i="27"/>
  <c r="G24" i="27"/>
  <c r="G68" i="27"/>
  <c r="G61" i="27"/>
  <c r="G104" i="27"/>
  <c r="G66" i="27"/>
  <c r="G21" i="27"/>
  <c r="G29" i="27"/>
  <c r="G91" i="27"/>
  <c r="G28" i="27"/>
  <c r="G20" i="27"/>
  <c r="G126" i="27"/>
  <c r="G90" i="27"/>
  <c r="G100" i="27"/>
  <c r="G41" i="27"/>
  <c r="G75" i="27"/>
  <c r="G110" i="27"/>
  <c r="G60" i="27"/>
  <c r="G49" i="27"/>
  <c r="G113" i="27"/>
  <c r="G107" i="27"/>
  <c r="G87" i="27"/>
  <c r="G117" i="27"/>
  <c r="G103" i="27"/>
  <c r="G40" i="27"/>
  <c r="G121" i="27"/>
  <c r="G59" i="27"/>
  <c r="G123" i="27"/>
  <c r="G23" i="27"/>
  <c r="G94" i="27"/>
  <c r="G93" i="27"/>
  <c r="G50" i="27"/>
  <c r="G47" i="27"/>
  <c r="G111" i="27"/>
  <c r="G122" i="27"/>
  <c r="G7" i="27"/>
  <c r="G84" i="27"/>
  <c r="G120" i="27"/>
  <c r="G56" i="27"/>
  <c r="G119" i="27"/>
  <c r="G39" i="27"/>
  <c r="G10" i="27"/>
  <c r="G97" i="27"/>
  <c r="G149" i="27"/>
  <c r="F149" i="27"/>
  <c r="G34" i="27"/>
  <c r="E149" i="27"/>
  <c r="D149" i="27"/>
  <c r="G5" i="27"/>
  <c r="X20" i="41"/>
  <c r="Y20" i="41"/>
  <c r="X19" i="41"/>
  <c r="AD19" i="41"/>
  <c r="AE19" i="41"/>
  <c r="AR19" i="41"/>
  <c r="AD17" i="41"/>
  <c r="AE17" i="41"/>
  <c r="AR17" i="41"/>
  <c r="I39" i="15"/>
  <c r="J39" i="15"/>
  <c r="N38" i="15"/>
  <c r="I38" i="15"/>
  <c r="J38" i="15"/>
  <c r="E11" i="31"/>
  <c r="AD18" i="41"/>
  <c r="AE18" i="41"/>
  <c r="AR18" i="41"/>
  <c r="BT16" i="41"/>
  <c r="N35" i="15"/>
  <c r="I35" i="15"/>
  <c r="J35" i="15"/>
  <c r="N43" i="15"/>
  <c r="I43" i="15"/>
  <c r="J43" i="15"/>
  <c r="I44" i="15"/>
  <c r="J44" i="15"/>
  <c r="I29" i="15"/>
  <c r="J29" i="15"/>
  <c r="I34" i="15"/>
  <c r="J34" i="15"/>
  <c r="R33" i="37"/>
  <c r="N28" i="15"/>
  <c r="I28" i="15"/>
  <c r="J28" i="15"/>
  <c r="C11" i="31"/>
  <c r="N50" i="15"/>
  <c r="I50" i="15"/>
  <c r="J50" i="15"/>
  <c r="G11" i="31"/>
  <c r="I49" i="15"/>
  <c r="J49" i="15"/>
  <c r="BT18" i="41"/>
  <c r="Y19" i="41"/>
  <c r="Z20" i="41" a="1"/>
  <c r="AA20" i="41"/>
  <c r="X31" i="41"/>
  <c r="AD31" i="41"/>
  <c r="AE31" i="41"/>
  <c r="AR31" i="41"/>
  <c r="BT19" i="41"/>
  <c r="BG19" i="41"/>
  <c r="AQ19" i="41"/>
  <c r="X28" i="41"/>
  <c r="AD28" i="41"/>
  <c r="AE28" i="41"/>
  <c r="AR28" i="41"/>
  <c r="N25" i="15"/>
  <c r="I25" i="15"/>
  <c r="J25" i="15"/>
  <c r="N23" i="15"/>
  <c r="I23" i="15"/>
  <c r="J23" i="15"/>
  <c r="B11" i="31"/>
  <c r="BG18" i="41"/>
  <c r="X33" i="41"/>
  <c r="BT33" i="41"/>
  <c r="Y18" i="41"/>
  <c r="X32" i="41"/>
  <c r="Y32" i="41"/>
  <c r="L4" i="27"/>
  <c r="J4" i="27"/>
  <c r="M4" i="27"/>
  <c r="K4" i="27"/>
  <c r="BG16" i="41"/>
  <c r="X34" i="41"/>
  <c r="AD34" i="41"/>
  <c r="AE34" i="41"/>
  <c r="AR34" i="41"/>
  <c r="Y16" i="41"/>
  <c r="X26" i="41"/>
  <c r="BT26" i="41"/>
  <c r="X27" i="41"/>
  <c r="BG27" i="41"/>
  <c r="AD16" i="41"/>
  <c r="AE16" i="41"/>
  <c r="AR16" i="41"/>
  <c r="X29" i="41"/>
  <c r="AQ29" i="41"/>
  <c r="X35" i="41"/>
  <c r="Y35" i="41"/>
  <c r="X22" i="41"/>
  <c r="Y22" i="41"/>
  <c r="BG17" i="41"/>
  <c r="AQ17" i="41"/>
  <c r="Y17" i="41"/>
  <c r="K3" i="27"/>
  <c r="J3" i="27"/>
  <c r="M3" i="27"/>
  <c r="L3" i="27"/>
  <c r="X11" i="41"/>
  <c r="X14" i="41"/>
  <c r="X10" i="41"/>
  <c r="X12" i="41"/>
  <c r="X13" i="41"/>
  <c r="X24" i="41"/>
  <c r="X21" i="41"/>
  <c r="X25" i="41"/>
  <c r="X6" i="41"/>
  <c r="X7" i="41"/>
  <c r="X5" i="41"/>
  <c r="X9" i="41"/>
  <c r="X8" i="41"/>
  <c r="Y29" i="41"/>
  <c r="Y30" i="41"/>
  <c r="BG30" i="41"/>
  <c r="AD30" i="41"/>
  <c r="AE30" i="41"/>
  <c r="AR30" i="41"/>
  <c r="AQ30" i="41"/>
  <c r="BT30" i="41"/>
  <c r="X23" i="41"/>
  <c r="BT20" i="41"/>
  <c r="BG20" i="41"/>
  <c r="AQ20" i="41"/>
  <c r="AD20" i="41"/>
  <c r="AE20" i="41"/>
  <c r="AR20" i="41"/>
  <c r="F11" i="31"/>
  <c r="AQ28" i="41"/>
  <c r="BT31" i="41"/>
  <c r="D11" i="31"/>
  <c r="X33" i="37"/>
  <c r="F38" i="30"/>
  <c r="B38" i="30"/>
  <c r="E22" i="32"/>
  <c r="B22" i="32"/>
  <c r="D22" i="32"/>
  <c r="C22" i="32"/>
  <c r="E38" i="30"/>
  <c r="W33" i="37"/>
  <c r="U33" i="37"/>
  <c r="X21" i="15"/>
  <c r="BG21" i="15"/>
  <c r="X13" i="15"/>
  <c r="AD13" i="15"/>
  <c r="AE13" i="15"/>
  <c r="AR13" i="15"/>
  <c r="T33" i="37"/>
  <c r="BT28" i="41"/>
  <c r="BG31" i="41"/>
  <c r="Y31" i="41"/>
  <c r="Z31" i="41" a="1"/>
  <c r="Z31" i="41"/>
  <c r="AQ31" i="41"/>
  <c r="AC33" i="37"/>
  <c r="X22" i="15"/>
  <c r="BT22" i="15"/>
  <c r="X26" i="15"/>
  <c r="BG26" i="15"/>
  <c r="AD26" i="41"/>
  <c r="AE26" i="41"/>
  <c r="AR26" i="41"/>
  <c r="X23" i="15"/>
  <c r="Y23" i="15"/>
  <c r="E38" i="32"/>
  <c r="X24" i="15"/>
  <c r="E12" i="31"/>
  <c r="AH33" i="37"/>
  <c r="X25" i="15"/>
  <c r="BT25" i="15"/>
  <c r="V33" i="37"/>
  <c r="X12" i="15"/>
  <c r="BG12" i="15"/>
  <c r="X14" i="15"/>
  <c r="F38" i="32"/>
  <c r="B38" i="32"/>
  <c r="D12" i="31"/>
  <c r="X16" i="15"/>
  <c r="Y16" i="15"/>
  <c r="D38" i="30"/>
  <c r="P33" i="37"/>
  <c r="X28" i="15"/>
  <c r="Y28" i="15"/>
  <c r="X18" i="15"/>
  <c r="AD18" i="15"/>
  <c r="AE18" i="15"/>
  <c r="AR18" i="15"/>
  <c r="X19" i="15"/>
  <c r="AQ19" i="15"/>
  <c r="AA33" i="37"/>
  <c r="X27" i="15"/>
  <c r="AQ27" i="15"/>
  <c r="AB33" i="37"/>
  <c r="O33" i="37"/>
  <c r="D38" i="32"/>
  <c r="AD33" i="37"/>
  <c r="F12" i="31"/>
  <c r="X35" i="15"/>
  <c r="N33" i="37"/>
  <c r="X29" i="15"/>
  <c r="AQ29" i="15"/>
  <c r="Z33" i="37"/>
  <c r="X30" i="15"/>
  <c r="Q33" i="37"/>
  <c r="X17" i="15"/>
  <c r="AQ17" i="15"/>
  <c r="AG33" i="37"/>
  <c r="X31" i="15"/>
  <c r="AF6" i="37"/>
  <c r="X10" i="15"/>
  <c r="AD10" i="15"/>
  <c r="AE10" i="15"/>
  <c r="AR10" i="15"/>
  <c r="X11" i="15"/>
  <c r="Y11" i="15"/>
  <c r="X20" i="15"/>
  <c r="AI33" i="37"/>
  <c r="G12" i="31"/>
  <c r="G38" i="32"/>
  <c r="C38" i="32"/>
  <c r="X32" i="15"/>
  <c r="AQ32" i="15"/>
  <c r="AJ33" i="37"/>
  <c r="AF33" i="37"/>
  <c r="G38" i="30"/>
  <c r="C38" i="30"/>
  <c r="X33" i="15"/>
  <c r="AQ33" i="15"/>
  <c r="X34" i="15"/>
  <c r="BG34" i="15"/>
  <c r="Y28" i="41"/>
  <c r="Z28" i="41" a="1"/>
  <c r="BG28" i="41"/>
  <c r="BG33" i="41"/>
  <c r="Y34" i="41"/>
  <c r="Z18" i="41" a="1"/>
  <c r="Z18" i="41"/>
  <c r="BT27" i="41"/>
  <c r="Z17" i="41" a="1"/>
  <c r="Z17" i="41"/>
  <c r="AD32" i="41"/>
  <c r="AE32" i="41"/>
  <c r="AR32" i="41"/>
  <c r="AQ32" i="41"/>
  <c r="BT29" i="41"/>
  <c r="X8" i="15"/>
  <c r="AQ8" i="15"/>
  <c r="X7" i="15"/>
  <c r="Y7" i="15"/>
  <c r="BG23" i="15"/>
  <c r="BT19" i="15"/>
  <c r="X6" i="15"/>
  <c r="Y6" i="15"/>
  <c r="X9" i="15"/>
  <c r="X5" i="15"/>
  <c r="B6" i="37"/>
  <c r="BT34" i="41"/>
  <c r="AD29" i="41"/>
  <c r="AE29" i="41"/>
  <c r="AR29" i="41"/>
  <c r="AQ26" i="41"/>
  <c r="BG26" i="41"/>
  <c r="BG29" i="41"/>
  <c r="Y26" i="41"/>
  <c r="AQ34" i="41"/>
  <c r="BG34" i="41"/>
  <c r="Y27" i="41"/>
  <c r="AQ33" i="41"/>
  <c r="Z16" i="41" a="1"/>
  <c r="AA16" i="41"/>
  <c r="AD27" i="41"/>
  <c r="AE27" i="41"/>
  <c r="AR27" i="41"/>
  <c r="AD33" i="41"/>
  <c r="AE33" i="41"/>
  <c r="AR33" i="41"/>
  <c r="Y33" i="41"/>
  <c r="Z33" i="41" a="1"/>
  <c r="AA33" i="41"/>
  <c r="BG32" i="41"/>
  <c r="BT32" i="41"/>
  <c r="AQ27" i="41"/>
  <c r="AD22" i="41"/>
  <c r="AE22" i="41"/>
  <c r="AR22" i="41"/>
  <c r="AQ35" i="41"/>
  <c r="U17" i="37"/>
  <c r="B22" i="30"/>
  <c r="T17" i="37"/>
  <c r="I17" i="37"/>
  <c r="E17" i="37"/>
  <c r="N17" i="37"/>
  <c r="AG17" i="37"/>
  <c r="J17" i="37"/>
  <c r="D22" i="30"/>
  <c r="AF17" i="37"/>
  <c r="AH17" i="37"/>
  <c r="V17" i="37"/>
  <c r="H17" i="37"/>
  <c r="O17" i="37"/>
  <c r="G22" i="30"/>
  <c r="AD17" i="37"/>
  <c r="P17" i="37"/>
  <c r="C22" i="30"/>
  <c r="AI17" i="37"/>
  <c r="F22" i="30"/>
  <c r="C17" i="37"/>
  <c r="W17" i="37"/>
  <c r="G22" i="32"/>
  <c r="B17" i="37"/>
  <c r="L17" i="37"/>
  <c r="K17" i="37"/>
  <c r="Q17" i="37"/>
  <c r="AJ17" i="37"/>
  <c r="Z17" i="37"/>
  <c r="AC17" i="37"/>
  <c r="AB17" i="37"/>
  <c r="X17" i="37"/>
  <c r="E22" i="30"/>
  <c r="AA17" i="37"/>
  <c r="F17" i="37"/>
  <c r="F22" i="32"/>
  <c r="D17" i="37"/>
  <c r="R17" i="37"/>
  <c r="C19" i="31"/>
  <c r="D19" i="31"/>
  <c r="B19" i="31"/>
  <c r="G19" i="31"/>
  <c r="E19" i="31"/>
  <c r="F19" i="31"/>
  <c r="Z20" i="41"/>
  <c r="AB20" i="41"/>
  <c r="AD35" i="41"/>
  <c r="AE35" i="41"/>
  <c r="AR35" i="41"/>
  <c r="AQ22" i="41"/>
  <c r="BT35" i="41"/>
  <c r="BG35" i="41"/>
  <c r="BG22" i="41"/>
  <c r="BT22" i="41"/>
  <c r="Z30" i="41" a="1"/>
  <c r="AA30" i="41"/>
  <c r="AW36" i="41" a="1"/>
  <c r="AX40" i="41"/>
  <c r="F18" i="30"/>
  <c r="C18" i="32"/>
  <c r="G18" i="32"/>
  <c r="U13" i="37"/>
  <c r="P13" i="37"/>
  <c r="E13" i="37"/>
  <c r="AI13" i="37"/>
  <c r="Q13" i="37"/>
  <c r="AG13" i="37"/>
  <c r="AH13" i="37"/>
  <c r="I13" i="37"/>
  <c r="G18" i="30"/>
  <c r="B18" i="32"/>
  <c r="D18" i="32"/>
  <c r="AB13" i="37"/>
  <c r="N13" i="37"/>
  <c r="F13" i="37"/>
  <c r="AF13" i="37"/>
  <c r="C13" i="37"/>
  <c r="L13" i="37"/>
  <c r="C18" i="30"/>
  <c r="E18" i="32"/>
  <c r="AD13" i="37"/>
  <c r="V13" i="37"/>
  <c r="W13" i="37"/>
  <c r="H13" i="37"/>
  <c r="T13" i="37"/>
  <c r="F18" i="32"/>
  <c r="X13" i="37"/>
  <c r="Z13" i="37"/>
  <c r="D13" i="37"/>
  <c r="B18" i="30"/>
  <c r="E18" i="30"/>
  <c r="R13" i="37"/>
  <c r="B13" i="37"/>
  <c r="AA13" i="37"/>
  <c r="AC13" i="37"/>
  <c r="D18" i="30"/>
  <c r="O13" i="37"/>
  <c r="J13" i="37"/>
  <c r="K13" i="37"/>
  <c r="AJ13" i="37"/>
  <c r="G17" i="31"/>
  <c r="B17" i="31"/>
  <c r="E17" i="31"/>
  <c r="F17" i="31"/>
  <c r="C17" i="31"/>
  <c r="D17" i="31"/>
  <c r="AW46" i="41" a="1"/>
  <c r="AX49" i="41"/>
  <c r="AJ11" i="41" a="1"/>
  <c r="AJ11" i="41"/>
  <c r="BT9" i="41"/>
  <c r="BG9" i="41"/>
  <c r="AD9" i="41"/>
  <c r="AE9" i="41"/>
  <c r="AR9" i="41"/>
  <c r="AQ9" i="41"/>
  <c r="Y9" i="41"/>
  <c r="BT25" i="41"/>
  <c r="AQ25" i="41"/>
  <c r="Y25" i="41"/>
  <c r="AD25" i="41"/>
  <c r="AE25" i="41"/>
  <c r="AR25" i="41"/>
  <c r="BG25" i="41"/>
  <c r="BG24" i="41"/>
  <c r="AD24" i="41"/>
  <c r="AE24" i="41"/>
  <c r="AR24" i="41"/>
  <c r="BT24" i="41"/>
  <c r="AQ24" i="41"/>
  <c r="Y24" i="41"/>
  <c r="AA18" i="41"/>
  <c r="AQ8" i="41"/>
  <c r="AD8" i="41"/>
  <c r="AE8" i="41"/>
  <c r="AR8" i="41"/>
  <c r="Y8" i="41"/>
  <c r="BT8" i="41"/>
  <c r="BG8" i="41"/>
  <c r="Y6" i="41"/>
  <c r="BT6" i="41"/>
  <c r="BG6" i="41"/>
  <c r="AD6" i="41"/>
  <c r="AE6" i="41"/>
  <c r="AR6" i="41"/>
  <c r="AQ6" i="41"/>
  <c r="BT23" i="41"/>
  <c r="AD23" i="41"/>
  <c r="AE23" i="41"/>
  <c r="AR23" i="41"/>
  <c r="AQ23" i="41"/>
  <c r="BG23" i="41"/>
  <c r="Y23" i="41"/>
  <c r="Z22" i="41" a="1"/>
  <c r="BG5" i="41"/>
  <c r="Y5" i="41"/>
  <c r="AD5" i="41"/>
  <c r="AE5" i="41"/>
  <c r="AR5" i="41"/>
  <c r="BT5" i="41"/>
  <c r="AQ5" i="41"/>
  <c r="BT21" i="41"/>
  <c r="BG21" i="41"/>
  <c r="AQ21" i="41"/>
  <c r="Y21" i="41"/>
  <c r="Z21" i="41" a="1"/>
  <c r="AD21" i="41"/>
  <c r="AQ10" i="41"/>
  <c r="BG10" i="41"/>
  <c r="Y10" i="41"/>
  <c r="BT10" i="41"/>
  <c r="AD10" i="41"/>
  <c r="AE10" i="41"/>
  <c r="AR10" i="41"/>
  <c r="Z29" i="41" a="1"/>
  <c r="BT12" i="41"/>
  <c r="BG12" i="41"/>
  <c r="Y12" i="41"/>
  <c r="AQ12" i="41"/>
  <c r="AD12" i="41"/>
  <c r="AE12" i="41"/>
  <c r="AR12" i="41"/>
  <c r="BG13" i="41"/>
  <c r="Y13" i="41"/>
  <c r="BT13" i="41"/>
  <c r="AD13" i="41"/>
  <c r="AE13" i="41"/>
  <c r="AR13" i="41"/>
  <c r="AQ13" i="41"/>
  <c r="AQ11" i="41"/>
  <c r="Y11" i="41"/>
  <c r="BT11" i="41"/>
  <c r="AD11" i="41"/>
  <c r="AE11" i="41"/>
  <c r="AR11" i="41"/>
  <c r="BG11" i="41"/>
  <c r="Y7" i="41"/>
  <c r="BG7" i="41"/>
  <c r="AD7" i="41"/>
  <c r="AE7" i="41"/>
  <c r="AR7" i="41"/>
  <c r="BT7" i="41"/>
  <c r="AQ7" i="41"/>
  <c r="AQ14" i="41"/>
  <c r="Y14" i="41"/>
  <c r="BT14" i="41"/>
  <c r="BG14" i="41"/>
  <c r="AD14" i="41"/>
  <c r="AE14" i="41"/>
  <c r="AR14" i="41"/>
  <c r="AJ13" i="41" a="1"/>
  <c r="AJ13" i="41"/>
  <c r="AJ12" i="41" a="1"/>
  <c r="AK12" i="41"/>
  <c r="AD6" i="37"/>
  <c r="Y35" i="15"/>
  <c r="Y14" i="15"/>
  <c r="Y25" i="15"/>
  <c r="D25" i="31"/>
  <c r="F25" i="31"/>
  <c r="G25" i="31"/>
  <c r="B25" i="31"/>
  <c r="E25" i="31"/>
  <c r="C25" i="31"/>
  <c r="F6" i="37"/>
  <c r="F42" i="37"/>
  <c r="AD30" i="15"/>
  <c r="AE30" i="15"/>
  <c r="AR30" i="15"/>
  <c r="AD14" i="15"/>
  <c r="AE14" i="15"/>
  <c r="AR14" i="15"/>
  <c r="Y13" i="15"/>
  <c r="Y21" i="15"/>
  <c r="Z6" i="37"/>
  <c r="Z8" i="37"/>
  <c r="AQ28" i="15"/>
  <c r="AD21" i="15"/>
  <c r="AE21" i="15"/>
  <c r="AR21" i="15"/>
  <c r="AD26" i="15"/>
  <c r="AE26" i="15"/>
  <c r="AR26" i="15"/>
  <c r="AB6" i="37"/>
  <c r="AB42" i="37"/>
  <c r="BT11" i="15"/>
  <c r="U6" i="37"/>
  <c r="U7" i="37"/>
  <c r="AQ21" i="15"/>
  <c r="T6" i="37"/>
  <c r="T7" i="37"/>
  <c r="Y27" i="15"/>
  <c r="Z27" i="15" a="1"/>
  <c r="AA27" i="15"/>
  <c r="BT21" i="15"/>
  <c r="AQ22" i="15"/>
  <c r="AD22" i="15"/>
  <c r="AE22" i="15"/>
  <c r="AR22" i="15"/>
  <c r="AD16" i="15"/>
  <c r="AE16" i="15"/>
  <c r="AR16" i="15"/>
  <c r="AD19" i="15"/>
  <c r="AE19" i="15"/>
  <c r="AR19" i="15"/>
  <c r="BG13" i="15"/>
  <c r="BT28" i="15"/>
  <c r="L6" i="37"/>
  <c r="L42" i="37"/>
  <c r="N6" i="37"/>
  <c r="N42" i="37"/>
  <c r="AQ26" i="15"/>
  <c r="Q6" i="37"/>
  <c r="Q8" i="37"/>
  <c r="BG10" i="15"/>
  <c r="K6" i="37"/>
  <c r="K42" i="37"/>
  <c r="AQ13" i="15"/>
  <c r="BG28" i="15"/>
  <c r="BT14" i="15"/>
  <c r="AD25" i="15"/>
  <c r="AE25" i="15"/>
  <c r="AR25" i="15"/>
  <c r="BT26" i="15"/>
  <c r="H6" i="37"/>
  <c r="H42" i="37"/>
  <c r="AD28" i="15"/>
  <c r="AE28" i="15"/>
  <c r="AR28" i="15"/>
  <c r="Y26" i="15"/>
  <c r="BG19" i="15"/>
  <c r="BT13" i="15"/>
  <c r="AQ25" i="15"/>
  <c r="Y24" i="15"/>
  <c r="BG24" i="15"/>
  <c r="AD24" i="15"/>
  <c r="AE24" i="15"/>
  <c r="AR24" i="15"/>
  <c r="AQ24" i="15"/>
  <c r="W6" i="37"/>
  <c r="BT24" i="15"/>
  <c r="Z27" i="41" a="1"/>
  <c r="AA27" i="41"/>
  <c r="J6" i="37"/>
  <c r="J42" i="37"/>
  <c r="AA6" i="37"/>
  <c r="AA42" i="37"/>
  <c r="BG27" i="15"/>
  <c r="BG33" i="15"/>
  <c r="V6" i="37"/>
  <c r="V7" i="37"/>
  <c r="AD23" i="15"/>
  <c r="AE23" i="15"/>
  <c r="AR23" i="15"/>
  <c r="BG32" i="15"/>
  <c r="BG22" i="15"/>
  <c r="X6" i="37"/>
  <c r="BG25" i="15"/>
  <c r="BT27" i="15"/>
  <c r="BT33" i="15"/>
  <c r="AQ23" i="15"/>
  <c r="BT23" i="15"/>
  <c r="AD27" i="15"/>
  <c r="AE27" i="15"/>
  <c r="AR27" i="15"/>
  <c r="Y33" i="15"/>
  <c r="Y22" i="15"/>
  <c r="Z22" i="15" a="1"/>
  <c r="Z22" i="15"/>
  <c r="BT12" i="15"/>
  <c r="AQ16" i="15"/>
  <c r="BG16" i="15"/>
  <c r="AQ12" i="15"/>
  <c r="Y12" i="15"/>
  <c r="Y19" i="15"/>
  <c r="BT10" i="15"/>
  <c r="Y10" i="15"/>
  <c r="Z10" i="15" a="1"/>
  <c r="Z10" i="15"/>
  <c r="BG14" i="15"/>
  <c r="BT16" i="15"/>
  <c r="AD12" i="15"/>
  <c r="AE12" i="15"/>
  <c r="AR12" i="15"/>
  <c r="AQ10" i="15"/>
  <c r="AQ14" i="15"/>
  <c r="AA17" i="41"/>
  <c r="AB17" i="41"/>
  <c r="Z32" i="41" a="1"/>
  <c r="Z32" i="41"/>
  <c r="AX47" i="41"/>
  <c r="BG18" i="15"/>
  <c r="Y30" i="15"/>
  <c r="AQ18" i="15"/>
  <c r="BG29" i="15"/>
  <c r="AQ35" i="15"/>
  <c r="P6" i="37"/>
  <c r="P42" i="37"/>
  <c r="AC6" i="37"/>
  <c r="AC7" i="37"/>
  <c r="Y18" i="15"/>
  <c r="BT18" i="15"/>
  <c r="Y29" i="15"/>
  <c r="Z28" i="15" a="1"/>
  <c r="AQ11" i="15"/>
  <c r="Y17" i="15"/>
  <c r="Z16" i="15" a="1"/>
  <c r="AA16" i="15"/>
  <c r="BT29" i="15"/>
  <c r="I6" i="37"/>
  <c r="I42" i="37"/>
  <c r="AD29" i="15"/>
  <c r="AE29" i="15"/>
  <c r="AR29" i="15"/>
  <c r="BG11" i="15"/>
  <c r="AQ31" i="15"/>
  <c r="AQ30" i="15"/>
  <c r="BT30" i="15"/>
  <c r="AD35" i="15"/>
  <c r="AE35" i="15"/>
  <c r="AR35" i="15"/>
  <c r="AD17" i="15"/>
  <c r="AE17" i="15"/>
  <c r="AR17" i="15"/>
  <c r="BG17" i="15"/>
  <c r="O6" i="37"/>
  <c r="BT17" i="15"/>
  <c r="BG31" i="15"/>
  <c r="BG30" i="15"/>
  <c r="AJ6" i="37"/>
  <c r="AJ42" i="37"/>
  <c r="BG35" i="15"/>
  <c r="AD31" i="15"/>
  <c r="AE31" i="15"/>
  <c r="AR31" i="15"/>
  <c r="BT35" i="15"/>
  <c r="R6" i="37"/>
  <c r="AD20" i="15"/>
  <c r="AE20" i="15"/>
  <c r="AR20" i="15"/>
  <c r="BT20" i="15"/>
  <c r="AQ20" i="15"/>
  <c r="Y20" i="15"/>
  <c r="Z20" i="15" a="1"/>
  <c r="Z20" i="15"/>
  <c r="BG20" i="15"/>
  <c r="AI6" i="37"/>
  <c r="BT31" i="15"/>
  <c r="AD11" i="15"/>
  <c r="AE11" i="15"/>
  <c r="AR11" i="15"/>
  <c r="BT32" i="15"/>
  <c r="U42" i="37"/>
  <c r="Y34" i="15"/>
  <c r="Z34" i="15" a="1"/>
  <c r="Z34" i="15"/>
  <c r="BT34" i="15"/>
  <c r="Y31" i="15"/>
  <c r="AD32" i="15"/>
  <c r="AE32" i="15"/>
  <c r="AR32" i="15"/>
  <c r="AQ34" i="15"/>
  <c r="AD33" i="15"/>
  <c r="AE33" i="15"/>
  <c r="AR33" i="15"/>
  <c r="AH6" i="37"/>
  <c r="AH7" i="37"/>
  <c r="Y32" i="15"/>
  <c r="AG6" i="37"/>
  <c r="AD34" i="15"/>
  <c r="AE34" i="15"/>
  <c r="AR34" i="15"/>
  <c r="Z5" i="41" a="1"/>
  <c r="Z5" i="41"/>
  <c r="Z16" i="41"/>
  <c r="AB16" i="41"/>
  <c r="Y8" i="15"/>
  <c r="BT8" i="15"/>
  <c r="E6" i="37"/>
  <c r="AD8" i="15"/>
  <c r="AE8" i="15"/>
  <c r="AR8" i="15"/>
  <c r="BG8" i="15"/>
  <c r="AQ6" i="15"/>
  <c r="C6" i="37"/>
  <c r="AD9" i="15"/>
  <c r="AE9" i="15"/>
  <c r="AR9" i="15"/>
  <c r="B42" i="37"/>
  <c r="BG7" i="15"/>
  <c r="BT7" i="15"/>
  <c r="AD7" i="15"/>
  <c r="AE7" i="15"/>
  <c r="AR7" i="15"/>
  <c r="BT5" i="15"/>
  <c r="D6" i="37"/>
  <c r="AQ7" i="15"/>
  <c r="AD42" i="37"/>
  <c r="AD8" i="37"/>
  <c r="AD7" i="37"/>
  <c r="BG6" i="15"/>
  <c r="AD6" i="15"/>
  <c r="AE6" i="15"/>
  <c r="AR6" i="15"/>
  <c r="AF8" i="37"/>
  <c r="AF42" i="37"/>
  <c r="AF7" i="37"/>
  <c r="BT6" i="15"/>
  <c r="AD5" i="15"/>
  <c r="AE5" i="15"/>
  <c r="AR5" i="15"/>
  <c r="Y9" i="15"/>
  <c r="BT9" i="15"/>
  <c r="BG9" i="15"/>
  <c r="AQ9" i="15"/>
  <c r="BG5" i="15"/>
  <c r="AQ5" i="15"/>
  <c r="Y5" i="15"/>
  <c r="Z5" i="15" a="1"/>
  <c r="AA5" i="15"/>
  <c r="AW48" i="41"/>
  <c r="AN13" i="41"/>
  <c r="AO13" i="41"/>
  <c r="AA31" i="41"/>
  <c r="AB31" i="41"/>
  <c r="Z25" i="41" a="1"/>
  <c r="AA25" i="41"/>
  <c r="Z33" i="41"/>
  <c r="AB33" i="41"/>
  <c r="AK13" i="41"/>
  <c r="Z10" i="41" a="1"/>
  <c r="Z10" i="41"/>
  <c r="AX48" i="41"/>
  <c r="AK11" i="41"/>
  <c r="Z13" i="41" a="1"/>
  <c r="AA13" i="41"/>
  <c r="AW50" i="41"/>
  <c r="AW49" i="41"/>
  <c r="AX37" i="41"/>
  <c r="AX38" i="41"/>
  <c r="AW40" i="41"/>
  <c r="BC26" i="41" a="1"/>
  <c r="BC29" i="41"/>
  <c r="AW39" i="41"/>
  <c r="AX36" i="41"/>
  <c r="AW38" i="41"/>
  <c r="AN11" i="41"/>
  <c r="AO11" i="41"/>
  <c r="AJ12" i="41"/>
  <c r="Z23" i="41" a="1"/>
  <c r="AA23" i="41"/>
  <c r="AW46" i="41"/>
  <c r="AX50" i="41"/>
  <c r="AW47" i="41"/>
  <c r="AW37" i="41"/>
  <c r="AW36" i="41"/>
  <c r="AL12" i="41"/>
  <c r="AJ20" i="41" a="1"/>
  <c r="AK20" i="41"/>
  <c r="Z30" i="41"/>
  <c r="AB30" i="41"/>
  <c r="AX46" i="41"/>
  <c r="AX39" i="41"/>
  <c r="AJ18" i="41" a="1"/>
  <c r="AJ18" i="41"/>
  <c r="BC21" i="41" a="1"/>
  <c r="BC23" i="41"/>
  <c r="AN18" i="41"/>
  <c r="AO18" i="41"/>
  <c r="Z6" i="41" a="1"/>
  <c r="AA6" i="41"/>
  <c r="Z8" i="41" a="1"/>
  <c r="Z8" i="41"/>
  <c r="D22" i="31"/>
  <c r="D21" i="31"/>
  <c r="B22" i="31"/>
  <c r="B21" i="31"/>
  <c r="E22" i="31"/>
  <c r="E21" i="31"/>
  <c r="F21" i="31"/>
  <c r="F22" i="31"/>
  <c r="C22" i="31"/>
  <c r="C21" i="31"/>
  <c r="G22" i="31"/>
  <c r="G21" i="31"/>
  <c r="AL13" i="41"/>
  <c r="AM13" i="41"/>
  <c r="Z11" i="41" a="1"/>
  <c r="AA11" i="41"/>
  <c r="Z9" i="41" a="1"/>
  <c r="AA9" i="41"/>
  <c r="AB18" i="41"/>
  <c r="BM8" i="41" a="1"/>
  <c r="BM10" i="41" a="1"/>
  <c r="BM9" i="41" a="1"/>
  <c r="CF36" i="41" a="1"/>
  <c r="CF46" i="41" a="1"/>
  <c r="CF41" i="41" a="1"/>
  <c r="AA29" i="41"/>
  <c r="Z29" i="41"/>
  <c r="BZ26" i="41" a="1"/>
  <c r="BZ21" i="41" a="1"/>
  <c r="BZ31" i="41" a="1"/>
  <c r="AE21" i="41"/>
  <c r="AR21" i="41"/>
  <c r="BC5" i="41" a="1"/>
  <c r="BM14" i="41" a="1"/>
  <c r="BM17" i="41" a="1"/>
  <c r="BM16" i="41" a="1"/>
  <c r="Z22" i="41"/>
  <c r="AA22" i="41"/>
  <c r="Z14" i="41" a="1"/>
  <c r="Z12" i="41" a="1"/>
  <c r="Z7" i="41" a="1"/>
  <c r="AJ19" i="41" a="1"/>
  <c r="Z21" i="41"/>
  <c r="AA21" i="41"/>
  <c r="AA5" i="41"/>
  <c r="Z28" i="41"/>
  <c r="AA28" i="41"/>
  <c r="CF5" i="41" a="1"/>
  <c r="CF16" i="41" a="1"/>
  <c r="CF10" i="41" a="1"/>
  <c r="BZ10" i="41" a="1"/>
  <c r="BZ5" i="41" a="1"/>
  <c r="BZ16" i="41" a="1"/>
  <c r="BM5" i="41" a="1"/>
  <c r="BM7" i="41" a="1"/>
  <c r="BM6" i="41" a="1"/>
  <c r="BC46" i="41" a="1"/>
  <c r="BC41" i="41" a="1"/>
  <c r="BC36" i="41" a="1"/>
  <c r="Z24" i="41" a="1"/>
  <c r="E23" i="31"/>
  <c r="F24" i="31"/>
  <c r="F28" i="31"/>
  <c r="F23" i="31"/>
  <c r="AB7" i="37"/>
  <c r="T8" i="37"/>
  <c r="T36" i="37"/>
  <c r="G24" i="31"/>
  <c r="G28" i="31"/>
  <c r="G23" i="31"/>
  <c r="B23" i="31"/>
  <c r="AA32" i="41"/>
  <c r="T42" i="37"/>
  <c r="Z7" i="37"/>
  <c r="Z24" i="15" a="1"/>
  <c r="Z13" i="15" a="1"/>
  <c r="Z13" i="15"/>
  <c r="C24" i="31"/>
  <c r="C28" i="31"/>
  <c r="C23" i="31"/>
  <c r="D24" i="31"/>
  <c r="D28" i="31"/>
  <c r="D23" i="31"/>
  <c r="Q7" i="37"/>
  <c r="G26" i="31"/>
  <c r="B26" i="31"/>
  <c r="C26" i="31"/>
  <c r="E26" i="31"/>
  <c r="D26" i="31"/>
  <c r="F26" i="31"/>
  <c r="L7" i="31"/>
  <c r="B24" i="31"/>
  <c r="E24" i="31"/>
  <c r="E28" i="31"/>
  <c r="K7" i="31"/>
  <c r="E154" i="27"/>
  <c r="M7" i="31"/>
  <c r="J7" i="31"/>
  <c r="Z26" i="15" a="1"/>
  <c r="AA26" i="15"/>
  <c r="Z31" i="15" a="1"/>
  <c r="Z31" i="15"/>
  <c r="N7" i="37"/>
  <c r="U8" i="37"/>
  <c r="U43" i="37"/>
  <c r="N8" i="37"/>
  <c r="N43" i="37"/>
  <c r="Z21" i="15" a="1"/>
  <c r="AA21" i="15"/>
  <c r="V8" i="37"/>
  <c r="V43" i="37"/>
  <c r="Z14" i="15" a="1"/>
  <c r="AA14" i="15"/>
  <c r="Z30" i="15" a="1"/>
  <c r="AA30" i="15"/>
  <c r="Z12" i="15" a="1"/>
  <c r="Z12" i="15"/>
  <c r="Z27" i="41"/>
  <c r="AB27" i="41"/>
  <c r="AB8" i="37"/>
  <c r="AB36" i="37"/>
  <c r="Q42" i="37"/>
  <c r="Z42" i="37"/>
  <c r="AC8" i="37"/>
  <c r="AC43" i="37"/>
  <c r="U36" i="37"/>
  <c r="AA8" i="37"/>
  <c r="AA36" i="37"/>
  <c r="Z24" i="15"/>
  <c r="AA24" i="15"/>
  <c r="X42" i="37"/>
  <c r="X7" i="37"/>
  <c r="X8" i="37"/>
  <c r="W7" i="37"/>
  <c r="W8" i="37"/>
  <c r="W42" i="37"/>
  <c r="Z23" i="15" a="1"/>
  <c r="Z23" i="15"/>
  <c r="AJ7" i="37"/>
  <c r="AC42" i="37"/>
  <c r="P8" i="37"/>
  <c r="P43" i="37"/>
  <c r="V42" i="37"/>
  <c r="AA7" i="37"/>
  <c r="Z25" i="15" a="1"/>
  <c r="AJ8" i="37"/>
  <c r="AJ36" i="37"/>
  <c r="P7" i="37"/>
  <c r="Z18" i="15" a="1"/>
  <c r="AA18" i="15"/>
  <c r="Z11" i="15" a="1"/>
  <c r="AA11" i="15"/>
  <c r="AL20" i="41"/>
  <c r="AA22" i="15"/>
  <c r="AB22" i="15"/>
  <c r="AH8" i="37"/>
  <c r="AH43" i="37"/>
  <c r="AA20" i="15"/>
  <c r="AB20" i="15"/>
  <c r="Z27" i="15"/>
  <c r="AB27" i="15"/>
  <c r="Z16" i="15"/>
  <c r="BC31" i="15" a="1"/>
  <c r="BC32" i="15"/>
  <c r="BC21" i="15" a="1"/>
  <c r="BC21" i="15"/>
  <c r="AW36" i="15" a="1"/>
  <c r="AW39" i="15"/>
  <c r="Z28" i="15"/>
  <c r="AA28" i="15"/>
  <c r="AA34" i="15"/>
  <c r="AB34" i="15"/>
  <c r="AJ23" i="15" a="1"/>
  <c r="AM23" i="15"/>
  <c r="Z35" i="15" a="1"/>
  <c r="AA35" i="15"/>
  <c r="AA10" i="15"/>
  <c r="Z8" i="15" a="1"/>
  <c r="AA8" i="15"/>
  <c r="AI7" i="37"/>
  <c r="AI8" i="37"/>
  <c r="AI36" i="37"/>
  <c r="AW41" i="15" a="1"/>
  <c r="AW42" i="15"/>
  <c r="AG42" i="37"/>
  <c r="AI42" i="37"/>
  <c r="O42" i="37"/>
  <c r="O8" i="37"/>
  <c r="O7" i="37"/>
  <c r="AJ19" i="15" a="1"/>
  <c r="AJ19" i="15"/>
  <c r="Z33" i="15" a="1"/>
  <c r="Z33" i="15"/>
  <c r="R7" i="37"/>
  <c r="R42" i="37"/>
  <c r="R8" i="37"/>
  <c r="AW46" i="15" a="1"/>
  <c r="AX48" i="15"/>
  <c r="Z32" i="15" a="1"/>
  <c r="AG8" i="37"/>
  <c r="AG43" i="37"/>
  <c r="AJ14" i="15" a="1"/>
  <c r="AK14" i="15"/>
  <c r="AG7" i="37"/>
  <c r="AH42" i="37"/>
  <c r="BC5" i="15" a="1"/>
  <c r="BD5" i="15"/>
  <c r="AJ20" i="15" a="1"/>
  <c r="AM20" i="15"/>
  <c r="Z13" i="41"/>
  <c r="AB13" i="41"/>
  <c r="AA10" i="41"/>
  <c r="AB10" i="41"/>
  <c r="BC26" i="41"/>
  <c r="E42" i="37"/>
  <c r="C42" i="37"/>
  <c r="Z9" i="15" a="1"/>
  <c r="Z9" i="15"/>
  <c r="D42" i="37"/>
  <c r="Z5" i="15"/>
  <c r="AD36" i="37"/>
  <c r="AD43" i="37"/>
  <c r="BC10" i="15" a="1"/>
  <c r="AJ17" i="15" a="1"/>
  <c r="BC41" i="15" a="1"/>
  <c r="AF36" i="37"/>
  <c r="AF43" i="37"/>
  <c r="Q43" i="37"/>
  <c r="Q36" i="37"/>
  <c r="Z36" i="37"/>
  <c r="Z43" i="37"/>
  <c r="AJ16" i="15" a="1"/>
  <c r="AJ22" i="15" a="1"/>
  <c r="AJ18" i="15" a="1"/>
  <c r="AJ11" i="15" a="1"/>
  <c r="BC21" i="41"/>
  <c r="Z6" i="41"/>
  <c r="AB6" i="41"/>
  <c r="BC28" i="41"/>
  <c r="AN19" i="41"/>
  <c r="AO19" i="41"/>
  <c r="Z25" i="41"/>
  <c r="AB25" i="41"/>
  <c r="BC27" i="41"/>
  <c r="AK18" i="41"/>
  <c r="AB22" i="41"/>
  <c r="AB32" i="41"/>
  <c r="BD23" i="41"/>
  <c r="BD28" i="41"/>
  <c r="BD27" i="41"/>
  <c r="AJ20" i="41"/>
  <c r="Z11" i="41"/>
  <c r="AB11" i="41"/>
  <c r="BD26" i="41"/>
  <c r="BD29" i="41"/>
  <c r="AM20" i="41"/>
  <c r="BD30" i="41"/>
  <c r="BC30" i="41"/>
  <c r="BD24" i="41"/>
  <c r="AJ17" i="41" a="1"/>
  <c r="AJ17" i="41"/>
  <c r="BC16" i="41" a="1"/>
  <c r="BC19" i="41"/>
  <c r="BC24" i="41"/>
  <c r="BC22" i="41"/>
  <c r="BD22" i="41"/>
  <c r="AJ14" i="41" a="1"/>
  <c r="AJ14" i="41"/>
  <c r="BC10" i="41" a="1"/>
  <c r="BD12" i="41"/>
  <c r="BD25" i="41"/>
  <c r="BC25" i="41"/>
  <c r="Z23" i="41"/>
  <c r="AB23" i="41"/>
  <c r="AJ16" i="41" a="1"/>
  <c r="AK16" i="41"/>
  <c r="AA8" i="41"/>
  <c r="AB8" i="41"/>
  <c r="BD21" i="41"/>
  <c r="Z9" i="41"/>
  <c r="AB9" i="41"/>
  <c r="B26" i="32"/>
  <c r="K11" i="31"/>
  <c r="M11" i="31"/>
  <c r="J11" i="31"/>
  <c r="P20" i="29"/>
  <c r="G18" i="29"/>
  <c r="L11" i="31"/>
  <c r="G26" i="32"/>
  <c r="F26" i="32"/>
  <c r="D26" i="32"/>
  <c r="C26" i="32"/>
  <c r="E26" i="32"/>
  <c r="BC8" i="41"/>
  <c r="BC6" i="41"/>
  <c r="BD8" i="41"/>
  <c r="BD6" i="41"/>
  <c r="BC7" i="41"/>
  <c r="AN14" i="41"/>
  <c r="AO14" i="41"/>
  <c r="BC5" i="41"/>
  <c r="BD9" i="41"/>
  <c r="BD5" i="41"/>
  <c r="BD7" i="41"/>
  <c r="BC9" i="41"/>
  <c r="BN5" i="41"/>
  <c r="BM5" i="41"/>
  <c r="BN16" i="41"/>
  <c r="BO16" i="41"/>
  <c r="BM16" i="41"/>
  <c r="CA24" i="41"/>
  <c r="CA22" i="41"/>
  <c r="BZ25" i="41"/>
  <c r="BZ23" i="41"/>
  <c r="BQ8" i="41"/>
  <c r="BR8" i="41"/>
  <c r="BZ21" i="41"/>
  <c r="CA23" i="41"/>
  <c r="BZ24" i="41"/>
  <c r="CA25" i="41"/>
  <c r="BZ22" i="41"/>
  <c r="CA21" i="41"/>
  <c r="BN9" i="41"/>
  <c r="BO9" i="41"/>
  <c r="BM9" i="41"/>
  <c r="BM7" i="41"/>
  <c r="BN7" i="41"/>
  <c r="BO7" i="41"/>
  <c r="BP7" i="41"/>
  <c r="CF19" i="41"/>
  <c r="CF17" i="41"/>
  <c r="CG19" i="41"/>
  <c r="CG17" i="41"/>
  <c r="CF20" i="41"/>
  <c r="CF16" i="41"/>
  <c r="CG16" i="41"/>
  <c r="CF18" i="41"/>
  <c r="BQ17" i="41"/>
  <c r="BR17" i="41"/>
  <c r="CG18" i="41"/>
  <c r="CG20" i="41"/>
  <c r="AK19" i="41"/>
  <c r="AL19" i="41"/>
  <c r="AJ19" i="41"/>
  <c r="CA35" i="41"/>
  <c r="CA33" i="41"/>
  <c r="CA31" i="41"/>
  <c r="BZ34" i="41"/>
  <c r="BZ32" i="41"/>
  <c r="CA32" i="41"/>
  <c r="CA34" i="41"/>
  <c r="BZ35" i="41"/>
  <c r="BZ31" i="41"/>
  <c r="BZ33" i="41"/>
  <c r="Z24" i="41"/>
  <c r="AA24" i="41"/>
  <c r="BM6" i="41"/>
  <c r="BN6" i="41"/>
  <c r="BO6" i="41"/>
  <c r="BZ8" i="41"/>
  <c r="BZ6" i="41"/>
  <c r="CA8" i="41"/>
  <c r="CA6" i="41"/>
  <c r="BZ9" i="41"/>
  <c r="CA9" i="41"/>
  <c r="CA5" i="41"/>
  <c r="BZ7" i="41"/>
  <c r="BQ5" i="41"/>
  <c r="BR5" i="41"/>
  <c r="CA7" i="41"/>
  <c r="BZ5" i="41"/>
  <c r="CF14" i="41"/>
  <c r="CF12" i="41"/>
  <c r="BQ16" i="41"/>
  <c r="BR16" i="41"/>
  <c r="CF10" i="41"/>
  <c r="CG14" i="41"/>
  <c r="CG12" i="41"/>
  <c r="CG10" i="41"/>
  <c r="CG13" i="41"/>
  <c r="CF11" i="41"/>
  <c r="CF13" i="41"/>
  <c r="CG11" i="41"/>
  <c r="AA14" i="41"/>
  <c r="Z14" i="41"/>
  <c r="BM14" i="41"/>
  <c r="BN14" i="41"/>
  <c r="CG39" i="41"/>
  <c r="CG37" i="41"/>
  <c r="CF40" i="41"/>
  <c r="CF38" i="41"/>
  <c r="BQ21" i="41"/>
  <c r="BR21" i="41"/>
  <c r="CF36" i="41"/>
  <c r="CG40" i="41"/>
  <c r="CG36" i="41"/>
  <c r="CF37" i="41"/>
  <c r="CF39" i="41"/>
  <c r="CG38" i="41"/>
  <c r="BM8" i="41"/>
  <c r="BN8" i="41"/>
  <c r="AB28" i="41"/>
  <c r="AB5" i="41"/>
  <c r="AB21" i="41"/>
  <c r="AB29" i="41"/>
  <c r="BC44" i="41"/>
  <c r="BC42" i="41"/>
  <c r="BD44" i="41"/>
  <c r="BD42" i="41"/>
  <c r="BC45" i="41"/>
  <c r="BC41" i="41"/>
  <c r="BD45" i="41"/>
  <c r="BD41" i="41"/>
  <c r="BC43" i="41"/>
  <c r="AN22" i="41"/>
  <c r="AO22" i="41"/>
  <c r="BD43" i="41"/>
  <c r="CG8" i="41"/>
  <c r="CG6" i="41"/>
  <c r="CF9" i="41"/>
  <c r="CF7" i="41"/>
  <c r="BQ14" i="41"/>
  <c r="BR14" i="41"/>
  <c r="CF5" i="41"/>
  <c r="CG7" i="41"/>
  <c r="CF8" i="41"/>
  <c r="CG9" i="41"/>
  <c r="CG5" i="41"/>
  <c r="CF6" i="41"/>
  <c r="AA7" i="41"/>
  <c r="Z7" i="41"/>
  <c r="CF45" i="41"/>
  <c r="CF43" i="41"/>
  <c r="BQ22" i="41"/>
  <c r="BR22" i="41"/>
  <c r="CF41" i="41"/>
  <c r="CG45" i="41"/>
  <c r="CG43" i="41"/>
  <c r="CG41" i="41"/>
  <c r="CF42" i="41"/>
  <c r="CG42" i="41"/>
  <c r="CF44" i="41"/>
  <c r="CG44" i="41"/>
  <c r="BD40" i="41"/>
  <c r="BD38" i="41"/>
  <c r="BD36" i="41"/>
  <c r="BC39" i="41"/>
  <c r="BC37" i="41"/>
  <c r="BD39" i="41"/>
  <c r="BC36" i="41"/>
  <c r="BD37" i="41"/>
  <c r="BC38" i="41"/>
  <c r="AN21" i="41"/>
  <c r="AO21" i="41"/>
  <c r="BC40" i="41"/>
  <c r="CA13" i="41"/>
  <c r="CA11" i="41"/>
  <c r="BZ14" i="41"/>
  <c r="BZ12" i="41"/>
  <c r="BQ6" i="41"/>
  <c r="BR6" i="41"/>
  <c r="BZ10" i="41"/>
  <c r="BZ11" i="41"/>
  <c r="CA12" i="41"/>
  <c r="BZ13" i="41"/>
  <c r="CA14" i="41"/>
  <c r="CA10" i="41"/>
  <c r="BD49" i="41"/>
  <c r="BD47" i="41"/>
  <c r="BC50" i="41"/>
  <c r="BC48" i="41"/>
  <c r="AN23" i="41"/>
  <c r="AO23" i="41"/>
  <c r="BC46" i="41"/>
  <c r="BD50" i="41"/>
  <c r="BD46" i="41"/>
  <c r="BC49" i="41"/>
  <c r="BC47" i="41"/>
  <c r="BD48" i="41"/>
  <c r="CA20" i="41"/>
  <c r="CA18" i="41"/>
  <c r="CA16" i="41"/>
  <c r="BZ19" i="41"/>
  <c r="BZ17" i="41"/>
  <c r="CA17" i="41"/>
  <c r="CA19" i="41"/>
  <c r="BZ20" i="41"/>
  <c r="BZ16" i="41"/>
  <c r="BZ18" i="41"/>
  <c r="BQ7" i="41"/>
  <c r="BR7" i="41"/>
  <c r="AA12" i="41"/>
  <c r="Z12" i="41"/>
  <c r="BM17" i="41"/>
  <c r="BN17" i="41"/>
  <c r="BO17" i="41"/>
  <c r="BP17" i="41"/>
  <c r="CA29" i="41"/>
  <c r="CA27" i="41"/>
  <c r="BZ30" i="41"/>
  <c r="BZ28" i="41"/>
  <c r="BQ9" i="41"/>
  <c r="BR9" i="41"/>
  <c r="BZ26" i="41"/>
  <c r="BZ29" i="41"/>
  <c r="CA26" i="41"/>
  <c r="CA28" i="41"/>
  <c r="CA30" i="41"/>
  <c r="BZ27" i="41"/>
  <c r="CG50" i="41"/>
  <c r="CG48" i="41"/>
  <c r="CG46" i="41"/>
  <c r="CF49" i="41"/>
  <c r="CF47" i="41"/>
  <c r="CG47" i="41"/>
  <c r="CF48" i="41"/>
  <c r="BQ23" i="41"/>
  <c r="BR23" i="41"/>
  <c r="CG49" i="41"/>
  <c r="CF50" i="41"/>
  <c r="CF46" i="41"/>
  <c r="BM10" i="41"/>
  <c r="BN10" i="41"/>
  <c r="BP10" i="41"/>
  <c r="BO10" i="41"/>
  <c r="T43" i="37"/>
  <c r="AA23" i="15"/>
  <c r="AB23" i="15"/>
  <c r="AA13" i="15"/>
  <c r="AB13" i="15"/>
  <c r="AA12" i="15"/>
  <c r="Z21" i="15"/>
  <c r="AB21" i="15"/>
  <c r="AB16" i="15"/>
  <c r="D11" i="32"/>
  <c r="D11" i="30"/>
  <c r="B28" i="31"/>
  <c r="B29" i="31"/>
  <c r="Z26" i="15"/>
  <c r="K15" i="31"/>
  <c r="M15" i="31"/>
  <c r="L15" i="31"/>
  <c r="E29" i="31"/>
  <c r="E156" i="27"/>
  <c r="D156" i="27"/>
  <c r="V36" i="37"/>
  <c r="Z14" i="15"/>
  <c r="AB14" i="15"/>
  <c r="AA31" i="15"/>
  <c r="AB31" i="15"/>
  <c r="BD35" i="15"/>
  <c r="N36" i="37"/>
  <c r="Z30" i="15"/>
  <c r="AB30" i="15"/>
  <c r="AJ43" i="37"/>
  <c r="AB28" i="15"/>
  <c r="AA43" i="37"/>
  <c r="BD31" i="15"/>
  <c r="P36" i="37"/>
  <c r="AB43" i="37"/>
  <c r="Z8" i="15"/>
  <c r="BC35" i="15"/>
  <c r="BC33" i="15"/>
  <c r="AN20" i="15"/>
  <c r="AO20" i="15"/>
  <c r="AH36" i="37"/>
  <c r="AL19" i="15"/>
  <c r="AC36" i="37"/>
  <c r="AK19" i="15"/>
  <c r="BD25" i="15"/>
  <c r="Z25" i="15"/>
  <c r="AA25" i="15"/>
  <c r="W43" i="37"/>
  <c r="W36" i="37"/>
  <c r="X36" i="37"/>
  <c r="X43" i="37"/>
  <c r="AB24" i="15"/>
  <c r="BC22" i="15"/>
  <c r="Z18" i="15"/>
  <c r="AB18" i="15"/>
  <c r="Z11" i="15"/>
  <c r="AX37" i="15"/>
  <c r="BD34" i="15"/>
  <c r="BC34" i="15"/>
  <c r="AI43" i="37"/>
  <c r="Z35" i="15"/>
  <c r="G11" i="30"/>
  <c r="BD22" i="15"/>
  <c r="BD24" i="15"/>
  <c r="AB12" i="15"/>
  <c r="BC24" i="15"/>
  <c r="BD23" i="15"/>
  <c r="BD21" i="15"/>
  <c r="BC25" i="15"/>
  <c r="AX50" i="15"/>
  <c r="AW40" i="15"/>
  <c r="K7" i="37"/>
  <c r="AB10" i="15"/>
  <c r="BC31" i="15"/>
  <c r="BD32" i="15"/>
  <c r="AJ14" i="15"/>
  <c r="BD33" i="15"/>
  <c r="AL23" i="15"/>
  <c r="BC23" i="15"/>
  <c r="AN18" i="15"/>
  <c r="AO18" i="15"/>
  <c r="AX39" i="15"/>
  <c r="AX38" i="15"/>
  <c r="AX40" i="15"/>
  <c r="AX45" i="15"/>
  <c r="AW46" i="15"/>
  <c r="AW37" i="15"/>
  <c r="AX36" i="15"/>
  <c r="AW36" i="15"/>
  <c r="AX44" i="15"/>
  <c r="AW38" i="15"/>
  <c r="AN11" i="15"/>
  <c r="AO11" i="15"/>
  <c r="AX47" i="15"/>
  <c r="AX46" i="15"/>
  <c r="AK23" i="15"/>
  <c r="AW47" i="15"/>
  <c r="AX49" i="15"/>
  <c r="AW49" i="15"/>
  <c r="AJ23" i="15"/>
  <c r="J7" i="37"/>
  <c r="AW48" i="15"/>
  <c r="AN13" i="15"/>
  <c r="AO13" i="15"/>
  <c r="AW50" i="15"/>
  <c r="AG36" i="37"/>
  <c r="AX41" i="15"/>
  <c r="AW45" i="15"/>
  <c r="AX43" i="15"/>
  <c r="AW41" i="15"/>
  <c r="AX42" i="15"/>
  <c r="AW44" i="15"/>
  <c r="AW43" i="15"/>
  <c r="AN12" i="15"/>
  <c r="AO12" i="15"/>
  <c r="P14" i="29"/>
  <c r="T15" i="29"/>
  <c r="T16" i="29"/>
  <c r="T17" i="29"/>
  <c r="H8" i="29"/>
  <c r="BC5" i="15"/>
  <c r="AA33" i="15"/>
  <c r="AB33" i="15"/>
  <c r="O43" i="37"/>
  <c r="O36" i="37"/>
  <c r="BD6" i="15"/>
  <c r="AL20" i="15"/>
  <c r="AA32" i="15"/>
  <c r="Z32" i="15"/>
  <c r="R36" i="37"/>
  <c r="R43" i="37"/>
  <c r="AJ20" i="15"/>
  <c r="BC8" i="15"/>
  <c r="BD9" i="15"/>
  <c r="BD7" i="15"/>
  <c r="BC6" i="15"/>
  <c r="BC9" i="15"/>
  <c r="BC7" i="15"/>
  <c r="AN14" i="15"/>
  <c r="AO14" i="15"/>
  <c r="AK20" i="15"/>
  <c r="BD8" i="15"/>
  <c r="AK14" i="41"/>
  <c r="BD19" i="41"/>
  <c r="BD16" i="41"/>
  <c r="AB5" i="15"/>
  <c r="AA9" i="15"/>
  <c r="AB9" i="15"/>
  <c r="AK11" i="15"/>
  <c r="AJ11" i="15"/>
  <c r="AK16" i="15"/>
  <c r="AJ16" i="15"/>
  <c r="AL16" i="15"/>
  <c r="AM17" i="15"/>
  <c r="AK17" i="15"/>
  <c r="AJ17" i="15"/>
  <c r="AL17" i="15"/>
  <c r="AK22" i="15"/>
  <c r="AL22" i="15"/>
  <c r="AJ22" i="15"/>
  <c r="BD10" i="15"/>
  <c r="BC14" i="15"/>
  <c r="BC10" i="15"/>
  <c r="BD11" i="15"/>
  <c r="BC11" i="15"/>
  <c r="BC12" i="15"/>
  <c r="AN16" i="15"/>
  <c r="AO16" i="15"/>
  <c r="BC13" i="15"/>
  <c r="BD14" i="15"/>
  <c r="BD12" i="15"/>
  <c r="BD13" i="15"/>
  <c r="AK18" i="15"/>
  <c r="AJ18" i="15"/>
  <c r="BC45" i="15"/>
  <c r="BD41" i="15"/>
  <c r="BD43" i="15"/>
  <c r="BC41" i="15"/>
  <c r="BD44" i="15"/>
  <c r="BC43" i="15"/>
  <c r="AN22" i="15"/>
  <c r="AO22" i="15"/>
  <c r="BC42" i="15"/>
  <c r="BD45" i="15"/>
  <c r="BC44" i="15"/>
  <c r="BD42" i="15"/>
  <c r="AL17" i="41"/>
  <c r="BD18" i="41"/>
  <c r="BC18" i="41"/>
  <c r="AN17" i="41"/>
  <c r="AO17" i="41"/>
  <c r="BC17" i="41"/>
  <c r="BC13" i="41"/>
  <c r="BD11" i="41"/>
  <c r="AJ16" i="41"/>
  <c r="BC10" i="41"/>
  <c r="BD14" i="41"/>
  <c r="BC11" i="41"/>
  <c r="BD13" i="41"/>
  <c r="BD10" i="41"/>
  <c r="AL16" i="41"/>
  <c r="AK17" i="41"/>
  <c r="AM17" i="41"/>
  <c r="BC20" i="41"/>
  <c r="BD17" i="41"/>
  <c r="BC12" i="41"/>
  <c r="AN16" i="41"/>
  <c r="AO16" i="41"/>
  <c r="BC14" i="41"/>
  <c r="BC16" i="41"/>
  <c r="BD20" i="41"/>
  <c r="H154" i="27"/>
  <c r="D154" i="27"/>
  <c r="C27" i="31"/>
  <c r="C30" i="31"/>
  <c r="D29" i="31"/>
  <c r="D27" i="31"/>
  <c r="D30" i="31"/>
  <c r="K8" i="31"/>
  <c r="L12" i="31"/>
  <c r="M8" i="31"/>
  <c r="K12" i="31"/>
  <c r="E39" i="32"/>
  <c r="E40" i="32"/>
  <c r="E155" i="27"/>
  <c r="G39" i="32"/>
  <c r="K14" i="31"/>
  <c r="K21" i="31"/>
  <c r="K13" i="31"/>
  <c r="B27" i="31"/>
  <c r="L13" i="31"/>
  <c r="L14" i="31"/>
  <c r="L19" i="31"/>
  <c r="M13" i="31"/>
  <c r="J13" i="31"/>
  <c r="P22" i="29"/>
  <c r="G20" i="29"/>
  <c r="E27" i="31"/>
  <c r="E30" i="31"/>
  <c r="F39" i="32"/>
  <c r="F40" i="32"/>
  <c r="G27" i="31"/>
  <c r="G30" i="31"/>
  <c r="L8" i="31"/>
  <c r="G155" i="27"/>
  <c r="M14" i="31"/>
  <c r="J14" i="31"/>
  <c r="P23" i="29"/>
  <c r="G21" i="29"/>
  <c r="F27" i="31"/>
  <c r="K11" i="32"/>
  <c r="L11" i="32"/>
  <c r="M11" i="32"/>
  <c r="J11" i="32"/>
  <c r="R20" i="29"/>
  <c r="C29" i="31"/>
  <c r="M12" i="31"/>
  <c r="G29" i="31"/>
  <c r="AB12" i="41"/>
  <c r="AB14" i="41"/>
  <c r="AB24" i="41"/>
  <c r="BQ10" i="41"/>
  <c r="BR10" i="41"/>
  <c r="BQ11" i="41"/>
  <c r="BR11" i="41"/>
  <c r="AB7" i="41"/>
  <c r="AJ23" i="41" a="1"/>
  <c r="AL23" i="41"/>
  <c r="BM21" i="41" a="1"/>
  <c r="BM21" i="41"/>
  <c r="BM22" i="41" a="1"/>
  <c r="BO22" i="41"/>
  <c r="AJ22" i="41" a="1"/>
  <c r="AJ22" i="41"/>
  <c r="E11" i="32"/>
  <c r="B7" i="37"/>
  <c r="C11" i="32"/>
  <c r="B11" i="30"/>
  <c r="H7" i="37"/>
  <c r="C11" i="30"/>
  <c r="B11" i="32"/>
  <c r="G11" i="32"/>
  <c r="E11" i="30"/>
  <c r="M19" i="31"/>
  <c r="J19" i="31"/>
  <c r="P27" i="29"/>
  <c r="G25" i="29"/>
  <c r="AB26" i="15"/>
  <c r="F11" i="32"/>
  <c r="F11" i="30"/>
  <c r="M20" i="31"/>
  <c r="K19" i="31"/>
  <c r="L20" i="31"/>
  <c r="L21" i="31"/>
  <c r="L7" i="37"/>
  <c r="K20" i="31"/>
  <c r="M21" i="31"/>
  <c r="J21" i="31"/>
  <c r="P29" i="29"/>
  <c r="G26" i="29"/>
  <c r="H156" i="27"/>
  <c r="H158" i="27"/>
  <c r="H159" i="27"/>
  <c r="K18" i="31"/>
  <c r="M18" i="31"/>
  <c r="J18" i="31"/>
  <c r="P26" i="29"/>
  <c r="G24" i="29"/>
  <c r="J12" i="31"/>
  <c r="P21" i="29"/>
  <c r="G19" i="29"/>
  <c r="L18" i="31"/>
  <c r="AB8" i="15"/>
  <c r="E7" i="37"/>
  <c r="AB25" i="15"/>
  <c r="I7" i="37"/>
  <c r="AB11" i="15"/>
  <c r="AB35" i="15"/>
  <c r="AB32" i="15"/>
  <c r="F7" i="37"/>
  <c r="AK23" i="41"/>
  <c r="AL22" i="41"/>
  <c r="BN22" i="41"/>
  <c r="AM23" i="41"/>
  <c r="AK22" i="41"/>
  <c r="BM22" i="41"/>
  <c r="BN21" i="41"/>
  <c r="AJ23" i="41"/>
  <c r="J20" i="31"/>
  <c r="P28" i="29"/>
  <c r="F155" i="27"/>
  <c r="I155" i="27"/>
  <c r="F29" i="31"/>
  <c r="F30" i="31"/>
  <c r="C39" i="32"/>
  <c r="G40" i="32"/>
  <c r="C40" i="32"/>
  <c r="D155" i="27"/>
  <c r="H155" i="27"/>
  <c r="K10" i="31"/>
  <c r="G154" i="27"/>
  <c r="J15" i="31"/>
  <c r="P24" i="29"/>
  <c r="G22" i="29"/>
  <c r="M17" i="31"/>
  <c r="J17" i="31"/>
  <c r="P25" i="29"/>
  <c r="G23" i="29"/>
  <c r="G156" i="27"/>
  <c r="J8" i="31"/>
  <c r="P15" i="29"/>
  <c r="T21" i="29"/>
  <c r="M10" i="31"/>
  <c r="U16" i="29"/>
  <c r="V16" i="29"/>
  <c r="L17" i="31"/>
  <c r="L10" i="31"/>
  <c r="B30" i="31"/>
  <c r="K17" i="31"/>
  <c r="J10" i="31"/>
  <c r="P16" i="29"/>
  <c r="T22" i="29"/>
  <c r="I156" i="27"/>
  <c r="I158" i="27"/>
  <c r="I159" i="27"/>
  <c r="F156" i="27"/>
  <c r="F154" i="27"/>
  <c r="I154" i="27"/>
  <c r="U22" i="29"/>
  <c r="V22" i="29"/>
  <c r="T23" i="29"/>
  <c r="H9" i="29"/>
  <c r="H10" i="29"/>
  <c r="Z35" i="41" a="1"/>
  <c r="Z35" i="41"/>
  <c r="Z34" i="41" a="1"/>
  <c r="AA34" i="41"/>
  <c r="BM23" i="41" a="1"/>
  <c r="BM23" i="41"/>
  <c r="AA35" i="41"/>
  <c r="AB35" i="41"/>
  <c r="Z34" i="41"/>
  <c r="AB34" i="41"/>
  <c r="BP23" i="41"/>
  <c r="BO23" i="41"/>
  <c r="BN23" i="41"/>
  <c r="BM11" i="41" a="1"/>
  <c r="BN11" i="41"/>
  <c r="AJ21" i="41" a="1"/>
  <c r="AK21" i="41"/>
  <c r="BM13" i="41" a="1"/>
  <c r="BM13" i="41"/>
  <c r="BM12" i="41" a="1"/>
  <c r="BO12" i="41"/>
  <c r="BM6" i="15" a="1"/>
  <c r="BM6" i="15"/>
  <c r="BM7" i="15" a="1"/>
  <c r="BN7" i="15"/>
  <c r="AJ21" i="41"/>
  <c r="BO6" i="15"/>
  <c r="BN6" i="15"/>
  <c r="BM11" i="41"/>
  <c r="BN12" i="41"/>
  <c r="BM12" i="41"/>
  <c r="BN13" i="41"/>
  <c r="BP13" i="41"/>
  <c r="BO13" i="41"/>
  <c r="BM7" i="15"/>
  <c r="BP7" i="15"/>
  <c r="BO7" i="15"/>
  <c r="BZ16" i="15" a="1"/>
  <c r="BZ17" i="15"/>
  <c r="BZ5" i="15" a="1"/>
  <c r="BZ7" i="15"/>
  <c r="BQ5" i="15"/>
  <c r="BR5" i="15"/>
  <c r="BZ36" i="41" a="1"/>
  <c r="BZ39" i="41"/>
  <c r="BZ41" i="41" a="1"/>
  <c r="CA42" i="41"/>
  <c r="BZ46" i="41" a="1"/>
  <c r="BZ46" i="41"/>
  <c r="Z26" i="41" a="1"/>
  <c r="AA26" i="41"/>
  <c r="BZ49" i="41"/>
  <c r="CA47" i="41"/>
  <c r="Z26" i="41"/>
  <c r="AB26" i="41"/>
  <c r="CA36" i="41"/>
  <c r="CA50" i="41"/>
  <c r="CA40" i="41"/>
  <c r="BZ37" i="41"/>
  <c r="CA38" i="41"/>
  <c r="BZ38" i="41"/>
  <c r="BZ40" i="41"/>
  <c r="CA37" i="41"/>
  <c r="CA46" i="41"/>
  <c r="CA5" i="15"/>
  <c r="CA6" i="15"/>
  <c r="BZ8" i="15"/>
  <c r="CA8" i="15"/>
  <c r="CA19" i="15"/>
  <c r="BZ20" i="15"/>
  <c r="BZ6" i="15"/>
  <c r="BZ16" i="15"/>
  <c r="BZ5" i="15"/>
  <c r="CA18" i="15"/>
  <c r="CA9" i="15"/>
  <c r="CA7" i="15"/>
  <c r="CA16" i="15"/>
  <c r="BZ18" i="15"/>
  <c r="BQ7" i="15"/>
  <c r="BR7" i="15"/>
  <c r="BZ19" i="15"/>
  <c r="BZ9" i="15"/>
  <c r="CA20" i="15"/>
  <c r="CA17" i="15"/>
  <c r="CA43" i="41"/>
  <c r="CA39" i="41"/>
  <c r="BZ50" i="41"/>
  <c r="BZ41" i="41"/>
  <c r="BZ36" i="41"/>
  <c r="BZ45" i="41"/>
  <c r="BZ43" i="41"/>
  <c r="BQ12" i="41"/>
  <c r="BR12" i="41"/>
  <c r="CA49" i="41"/>
  <c r="CA44" i="41"/>
  <c r="CA41" i="41"/>
  <c r="BZ47" i="41"/>
  <c r="BZ48" i="41"/>
  <c r="BQ13" i="41"/>
  <c r="BR13" i="41"/>
  <c r="CA45" i="41"/>
  <c r="CA48" i="41"/>
  <c r="BZ42" i="41"/>
  <c r="BZ44" i="41"/>
  <c r="BC31" i="41" a="1"/>
  <c r="BD34" i="41"/>
  <c r="BZ10" i="15" a="1"/>
  <c r="BZ11" i="15"/>
  <c r="BC34" i="41"/>
  <c r="BC33" i="41"/>
  <c r="AN20" i="41"/>
  <c r="AO20" i="41"/>
  <c r="BD35" i="41"/>
  <c r="BD32" i="41"/>
  <c r="BC35" i="41"/>
  <c r="BC31" i="41"/>
  <c r="BD33" i="41"/>
  <c r="BD31" i="41"/>
  <c r="BC32" i="41"/>
  <c r="CA13" i="15"/>
  <c r="CA14" i="15"/>
  <c r="BZ13" i="15"/>
  <c r="CA12" i="15"/>
  <c r="CA11" i="15"/>
  <c r="BZ10" i="15"/>
  <c r="BZ14" i="15"/>
  <c r="BZ12" i="15"/>
  <c r="BQ6" i="15"/>
  <c r="BR6" i="15"/>
  <c r="CA10" i="15"/>
  <c r="E9" i="37"/>
  <c r="D9" i="37"/>
  <c r="C9" i="37"/>
  <c r="B13" i="30"/>
  <c r="B13" i="31"/>
  <c r="B13" i="32"/>
  <c r="F9" i="37"/>
  <c r="B9" i="37"/>
  <c r="BM5" i="15" a="1"/>
  <c r="BN5" i="15"/>
  <c r="C11" i="37"/>
  <c r="C14" i="37"/>
  <c r="C10" i="37"/>
  <c r="C18" i="37"/>
  <c r="E11" i="37"/>
  <c r="E14" i="37"/>
  <c r="E10" i="37"/>
  <c r="E18" i="37"/>
  <c r="F11" i="37"/>
  <c r="F14" i="37"/>
  <c r="F10" i="37"/>
  <c r="F18" i="37"/>
  <c r="B11" i="37"/>
  <c r="B14" i="37"/>
  <c r="B10" i="37"/>
  <c r="B18" i="37"/>
  <c r="B14" i="32"/>
  <c r="B15" i="32"/>
  <c r="B19" i="32"/>
  <c r="B23" i="32"/>
  <c r="B29" i="32"/>
  <c r="B15" i="30"/>
  <c r="B19" i="30"/>
  <c r="B14" i="30"/>
  <c r="B23" i="30"/>
  <c r="B29" i="30"/>
  <c r="D11" i="37"/>
  <c r="D14" i="37"/>
  <c r="D18" i="37"/>
  <c r="D10" i="37"/>
  <c r="BM5" i="15"/>
  <c r="Z17" i="15" a="1"/>
  <c r="Z17" i="15"/>
  <c r="CF36" i="15" a="1"/>
  <c r="CF38" i="15"/>
  <c r="BQ21" i="15"/>
  <c r="BR21" i="15"/>
  <c r="BC36" i="15" a="1"/>
  <c r="BC40" i="15"/>
  <c r="CF46" i="15" a="1"/>
  <c r="CF47" i="15"/>
  <c r="CF41" i="15" a="1"/>
  <c r="CF43" i="15"/>
  <c r="BQ22" i="15"/>
  <c r="BR22" i="15"/>
  <c r="BC46" i="15" a="1"/>
  <c r="BD46" i="15"/>
  <c r="Z6" i="15" a="1"/>
  <c r="Z6" i="15"/>
  <c r="Z7" i="15" a="1"/>
  <c r="AA7" i="15"/>
  <c r="B20" i="30"/>
  <c r="CG36" i="15"/>
  <c r="E15" i="37"/>
  <c r="E20" i="37"/>
  <c r="CG42" i="15"/>
  <c r="D15" i="37"/>
  <c r="D21" i="37"/>
  <c r="D23" i="37"/>
  <c r="D27" i="37"/>
  <c r="B15" i="37"/>
  <c r="B20" i="32"/>
  <c r="B28" i="32"/>
  <c r="F15" i="37"/>
  <c r="C15" i="37"/>
  <c r="CF36" i="15"/>
  <c r="CF41" i="15"/>
  <c r="BC47" i="15"/>
  <c r="BD47" i="15"/>
  <c r="BC39" i="15"/>
  <c r="CG40" i="15"/>
  <c r="CF40" i="15"/>
  <c r="CF45" i="15"/>
  <c r="BC46" i="15"/>
  <c r="BD48" i="15"/>
  <c r="BD49" i="15"/>
  <c r="BC49" i="15"/>
  <c r="CG38" i="15"/>
  <c r="CF37" i="15"/>
  <c r="CG44" i="15"/>
  <c r="CG41" i="15"/>
  <c r="BC48" i="15"/>
  <c r="AN23" i="15"/>
  <c r="AO23" i="15"/>
  <c r="CG37" i="15"/>
  <c r="CG39" i="15"/>
  <c r="AA17" i="15"/>
  <c r="AB17" i="15"/>
  <c r="CG43" i="15"/>
  <c r="CF42" i="15"/>
  <c r="CG46" i="15"/>
  <c r="BD37" i="15"/>
  <c r="CG48" i="15"/>
  <c r="CG50" i="15"/>
  <c r="CF50" i="15"/>
  <c r="CF39" i="15"/>
  <c r="BC36" i="15"/>
  <c r="BD36" i="15"/>
  <c r="BD39" i="15"/>
  <c r="CF46" i="15"/>
  <c r="CF49" i="15"/>
  <c r="CG47" i="15"/>
  <c r="BD40" i="15"/>
  <c r="BC37" i="15"/>
  <c r="BC38" i="15"/>
  <c r="AN21" i="15"/>
  <c r="AO21" i="15"/>
  <c r="CF44" i="15"/>
  <c r="CG45" i="15"/>
  <c r="BC50" i="15"/>
  <c r="BD50" i="15"/>
  <c r="CF48" i="15"/>
  <c r="BQ23" i="15"/>
  <c r="BR23" i="15"/>
  <c r="CG49" i="15"/>
  <c r="BD38" i="15"/>
  <c r="Z7" i="15"/>
  <c r="AA6" i="15"/>
  <c r="AB6" i="15"/>
  <c r="G12" i="30"/>
  <c r="G41" i="30"/>
  <c r="G12" i="32"/>
  <c r="G41" i="32"/>
  <c r="B32" i="32"/>
  <c r="D7" i="37"/>
  <c r="B25" i="30"/>
  <c r="B26" i="30"/>
  <c r="E21" i="37"/>
  <c r="E25" i="37"/>
  <c r="D20" i="37"/>
  <c r="D25" i="37"/>
  <c r="C21" i="37"/>
  <c r="C23" i="37"/>
  <c r="C27" i="37"/>
  <c r="F21" i="37"/>
  <c r="F20" i="37"/>
  <c r="B20" i="37"/>
  <c r="B21" i="37"/>
  <c r="C20" i="37"/>
  <c r="B25" i="32"/>
  <c r="B6" i="32"/>
  <c r="C41" i="30"/>
  <c r="AB7" i="15"/>
  <c r="C7" i="37"/>
  <c r="B28" i="30"/>
  <c r="B32" i="30"/>
  <c r="B27" i="30"/>
  <c r="B31" i="30"/>
  <c r="B30" i="32"/>
  <c r="B27" i="32"/>
  <c r="B31" i="32"/>
  <c r="C5" i="32"/>
  <c r="C7" i="32"/>
  <c r="B8" i="32"/>
  <c r="B30" i="30"/>
  <c r="E23" i="37"/>
  <c r="E27" i="37"/>
  <c r="E22" i="37"/>
  <c r="E26" i="37"/>
  <c r="C25" i="37"/>
  <c r="D22" i="37"/>
  <c r="B25" i="37"/>
  <c r="B23" i="37"/>
  <c r="B22" i="37"/>
  <c r="C22" i="37"/>
  <c r="C28" i="37"/>
  <c r="F25" i="37"/>
  <c r="F23" i="37"/>
  <c r="F22" i="37"/>
  <c r="E24" i="37"/>
  <c r="B34" i="30"/>
  <c r="B33" i="30"/>
  <c r="E30" i="37"/>
  <c r="E41" i="37"/>
  <c r="C24" i="37"/>
  <c r="B33" i="32"/>
  <c r="B34" i="32"/>
  <c r="D24" i="37"/>
  <c r="D28" i="37"/>
  <c r="D26" i="37"/>
  <c r="F26" i="37"/>
  <c r="F30" i="37"/>
  <c r="F41" i="37"/>
  <c r="F24" i="37"/>
  <c r="B27" i="37"/>
  <c r="C26" i="37"/>
  <c r="C29" i="37"/>
  <c r="B24" i="37"/>
  <c r="B26" i="37"/>
  <c r="B30" i="37"/>
  <c r="B41" i="37"/>
  <c r="E28" i="37"/>
  <c r="E29" i="37"/>
  <c r="F27" i="37"/>
  <c r="AW41" i="41" a="1"/>
  <c r="AX41" i="41"/>
  <c r="BM19" i="41" a="1"/>
  <c r="BM19" i="41"/>
  <c r="BM18" i="41" a="1"/>
  <c r="BM18" i="41"/>
  <c r="BO19" i="41"/>
  <c r="BN18" i="41"/>
  <c r="BN19" i="41"/>
  <c r="C30" i="37"/>
  <c r="C41" i="37"/>
  <c r="F29" i="37"/>
  <c r="D30" i="37"/>
  <c r="D41" i="37"/>
  <c r="D29" i="37"/>
  <c r="F28" i="37"/>
  <c r="B28" i="37"/>
  <c r="B29" i="37"/>
  <c r="AX43" i="41"/>
  <c r="AW42" i="41"/>
  <c r="AX44" i="41"/>
  <c r="AW41" i="41"/>
  <c r="AW43" i="41"/>
  <c r="AN12" i="41"/>
  <c r="AO12" i="41"/>
  <c r="AW45" i="41"/>
  <c r="AX45" i="41"/>
  <c r="AX42" i="41"/>
  <c r="AW44" i="41"/>
  <c r="CF26" i="41" a="1"/>
  <c r="CG30" i="41"/>
  <c r="CF31" i="41" a="1"/>
  <c r="CF35" i="41"/>
  <c r="BM20" i="41" a="1"/>
  <c r="BO20" i="41"/>
  <c r="AJ21" i="15" a="1"/>
  <c r="AK21" i="15"/>
  <c r="CF29" i="41"/>
  <c r="CF26" i="41"/>
  <c r="CF30" i="41"/>
  <c r="CF27" i="41"/>
  <c r="CG29" i="41"/>
  <c r="CG27" i="41"/>
  <c r="CG26" i="41"/>
  <c r="CG28" i="41"/>
  <c r="CF28" i="41"/>
  <c r="BQ19" i="41"/>
  <c r="BR19" i="41"/>
  <c r="CF31" i="41"/>
  <c r="CG34" i="41"/>
  <c r="CG32" i="41"/>
  <c r="CG31" i="41"/>
  <c r="CG33" i="41"/>
  <c r="CG35" i="41"/>
  <c r="BN20" i="41"/>
  <c r="BP20" i="41"/>
  <c r="CF33" i="41"/>
  <c r="BQ20" i="41"/>
  <c r="BR20" i="41"/>
  <c r="CF34" i="41"/>
  <c r="CF32" i="41"/>
  <c r="BM20" i="41"/>
  <c r="AJ21" i="15"/>
  <c r="Z19" i="15" a="1"/>
  <c r="AA19" i="15"/>
  <c r="BZ36" i="15" a="1"/>
  <c r="BZ38" i="15"/>
  <c r="BM12" i="15" a="1"/>
  <c r="BN12" i="15"/>
  <c r="AJ12" i="15" a="1"/>
  <c r="AJ12" i="15"/>
  <c r="BM11" i="15" a="1"/>
  <c r="BN11" i="15"/>
  <c r="BO12" i="15"/>
  <c r="CA37" i="15"/>
  <c r="CA38" i="15"/>
  <c r="BM11" i="15"/>
  <c r="CA36" i="15"/>
  <c r="BZ37" i="15"/>
  <c r="AK12" i="15"/>
  <c r="AL12" i="15"/>
  <c r="CA39" i="15"/>
  <c r="BM12" i="15"/>
  <c r="CA40" i="15"/>
  <c r="Z19" i="15"/>
  <c r="AB19" i="15"/>
  <c r="BZ39" i="15"/>
  <c r="BZ36" i="15"/>
  <c r="BZ40" i="15"/>
  <c r="Z29" i="15" a="1"/>
  <c r="Z29" i="15"/>
  <c r="BM23" i="15" a="1"/>
  <c r="BO23" i="15"/>
  <c r="AJ13" i="15" a="1"/>
  <c r="AJ13" i="15"/>
  <c r="BM13" i="15" a="1"/>
  <c r="BN13" i="15"/>
  <c r="BM22" i="15" a="1"/>
  <c r="BM22" i="15"/>
  <c r="BP23" i="15"/>
  <c r="BN23" i="15"/>
  <c r="BM13" i="15"/>
  <c r="BO13" i="15"/>
  <c r="BP13" i="15"/>
  <c r="BO22" i="15"/>
  <c r="BN22" i="15"/>
  <c r="BM23" i="15"/>
  <c r="AM13" i="15"/>
  <c r="AL13" i="15"/>
  <c r="AA29" i="15"/>
  <c r="AB29" i="15"/>
  <c r="AK13" i="15"/>
  <c r="G13" i="32"/>
  <c r="G13" i="30"/>
  <c r="G13" i="31"/>
  <c r="AG9" i="37"/>
  <c r="AF9" i="37"/>
  <c r="AI9" i="37"/>
  <c r="AH9" i="37"/>
  <c r="AJ9" i="37"/>
  <c r="D12" i="30"/>
  <c r="D41" i="30"/>
  <c r="D12" i="32"/>
  <c r="D41" i="32"/>
  <c r="CF31" i="15" a="1"/>
  <c r="CG32" i="15"/>
  <c r="BC26" i="15" a="1"/>
  <c r="BC26" i="15"/>
  <c r="CF21" i="15" a="1"/>
  <c r="CG24" i="15"/>
  <c r="BM20" i="15" a="1"/>
  <c r="BM20" i="15"/>
  <c r="BM21" i="15" a="1"/>
  <c r="BM21" i="15"/>
  <c r="BZ41" i="15" a="1"/>
  <c r="BZ43" i="15"/>
  <c r="BQ12" i="15"/>
  <c r="BR12" i="15"/>
  <c r="CF26" i="15" a="1"/>
  <c r="CF26" i="15"/>
  <c r="BM18" i="15" a="1"/>
  <c r="BM18" i="15"/>
  <c r="CG31" i="15"/>
  <c r="AH11" i="37"/>
  <c r="AH14" i="37"/>
  <c r="AH10" i="37"/>
  <c r="AH18" i="37"/>
  <c r="AF18" i="37"/>
  <c r="AF11" i="37"/>
  <c r="AF14" i="37"/>
  <c r="AF10" i="37"/>
  <c r="G23" i="32"/>
  <c r="G29" i="32"/>
  <c r="G15" i="32"/>
  <c r="G19" i="32"/>
  <c r="G14" i="32"/>
  <c r="AI18" i="37"/>
  <c r="AI10" i="37"/>
  <c r="AI11" i="37"/>
  <c r="AI14" i="37"/>
  <c r="G15" i="30"/>
  <c r="G19" i="30"/>
  <c r="G14" i="30"/>
  <c r="G23" i="30"/>
  <c r="G29" i="30"/>
  <c r="AJ18" i="37"/>
  <c r="AJ11" i="37"/>
  <c r="AJ14" i="37"/>
  <c r="AJ10" i="37"/>
  <c r="AG18" i="37"/>
  <c r="AG10" i="37"/>
  <c r="AG11" i="37"/>
  <c r="AG14" i="37"/>
  <c r="BN21" i="15"/>
  <c r="CG34" i="15"/>
  <c r="CF35" i="15"/>
  <c r="CG33" i="15"/>
  <c r="CF33" i="15"/>
  <c r="BQ20" i="15"/>
  <c r="BR20" i="15"/>
  <c r="CF34" i="15"/>
  <c r="CF32" i="15"/>
  <c r="CF31" i="15"/>
  <c r="CG35" i="15"/>
  <c r="BN18" i="15"/>
  <c r="BN20" i="15"/>
  <c r="BP20" i="15"/>
  <c r="BC29" i="15"/>
  <c r="BD29" i="15"/>
  <c r="BD27" i="15"/>
  <c r="BD30" i="15"/>
  <c r="CG25" i="15"/>
  <c r="BZ41" i="15"/>
  <c r="BZ45" i="15"/>
  <c r="BC28" i="15"/>
  <c r="AN19" i="15"/>
  <c r="AO19" i="15"/>
  <c r="F12" i="30"/>
  <c r="F41" i="30"/>
  <c r="BZ42" i="15"/>
  <c r="CA42" i="15"/>
  <c r="BD26" i="15"/>
  <c r="CA41" i="15"/>
  <c r="BC30" i="15"/>
  <c r="BD28" i="15"/>
  <c r="CF28" i="15"/>
  <c r="BQ19" i="15"/>
  <c r="BR19" i="15"/>
  <c r="CF22" i="15"/>
  <c r="CF24" i="15"/>
  <c r="CF30" i="15"/>
  <c r="CG21" i="15"/>
  <c r="CG29" i="15"/>
  <c r="BO20" i="15"/>
  <c r="CG22" i="15"/>
  <c r="CF29" i="15"/>
  <c r="CG26" i="15"/>
  <c r="CF23" i="15"/>
  <c r="BQ18" i="15"/>
  <c r="BR18" i="15"/>
  <c r="CG28" i="15"/>
  <c r="CF25" i="15"/>
  <c r="CG27" i="15"/>
  <c r="CG23" i="15"/>
  <c r="CF27" i="15"/>
  <c r="CF21" i="15"/>
  <c r="CG30" i="15"/>
  <c r="CA44" i="15"/>
  <c r="CA43" i="15"/>
  <c r="CA45" i="15"/>
  <c r="BZ44" i="15"/>
  <c r="BC27" i="15"/>
  <c r="G20" i="32"/>
  <c r="G25" i="32"/>
  <c r="AJ15" i="37"/>
  <c r="AH15" i="37"/>
  <c r="AI15" i="37"/>
  <c r="G20" i="30"/>
  <c r="AF15" i="37"/>
  <c r="AG15" i="37"/>
  <c r="F12" i="32"/>
  <c r="F41" i="32"/>
  <c r="G42" i="32"/>
  <c r="G43" i="32"/>
  <c r="Z9" i="37"/>
  <c r="Z11" i="37"/>
  <c r="Z14" i="37"/>
  <c r="AD9" i="37"/>
  <c r="F13" i="32"/>
  <c r="AB9" i="37"/>
  <c r="AA9" i="37"/>
  <c r="F13" i="30"/>
  <c r="AC9" i="37"/>
  <c r="F13" i="31"/>
  <c r="G28" i="32"/>
  <c r="G32" i="32"/>
  <c r="AI21" i="37"/>
  <c r="AI20" i="37"/>
  <c r="G30" i="32"/>
  <c r="G27" i="32"/>
  <c r="G31" i="32"/>
  <c r="AJ21" i="37"/>
  <c r="AJ20" i="37"/>
  <c r="G25" i="30"/>
  <c r="G26" i="30"/>
  <c r="AH21" i="37"/>
  <c r="AH34" i="37"/>
  <c r="AH35" i="37"/>
  <c r="AH20" i="37"/>
  <c r="AF21" i="37"/>
  <c r="AF23" i="37"/>
  <c r="AF27" i="37"/>
  <c r="AF20" i="37"/>
  <c r="AG21" i="37"/>
  <c r="AG20" i="37"/>
  <c r="Z10" i="37"/>
  <c r="Z18" i="37"/>
  <c r="AC18" i="37"/>
  <c r="AC10" i="37"/>
  <c r="AC11" i="37"/>
  <c r="AC14" i="37"/>
  <c r="F14" i="32"/>
  <c r="F23" i="32"/>
  <c r="F29" i="32"/>
  <c r="F15" i="32"/>
  <c r="F19" i="32"/>
  <c r="Z15" i="37"/>
  <c r="AB18" i="37"/>
  <c r="AB10" i="37"/>
  <c r="AB11" i="37"/>
  <c r="AB14" i="37"/>
  <c r="AA18" i="37"/>
  <c r="AA11" i="37"/>
  <c r="AA14" i="37"/>
  <c r="AA10" i="37"/>
  <c r="F23" i="30"/>
  <c r="F29" i="30"/>
  <c r="F15" i="30"/>
  <c r="F19" i="30"/>
  <c r="F14" i="30"/>
  <c r="AD18" i="37"/>
  <c r="AD11" i="37"/>
  <c r="AD14" i="37"/>
  <c r="AD10" i="37"/>
  <c r="G34" i="32"/>
  <c r="G33" i="32"/>
  <c r="AF25" i="37"/>
  <c r="AH23" i="37"/>
  <c r="AH27" i="37"/>
  <c r="AJ25" i="37"/>
  <c r="G27" i="30"/>
  <c r="G31" i="30"/>
  <c r="G39" i="30"/>
  <c r="G42" i="30"/>
  <c r="AI22" i="37"/>
  <c r="AI34" i="37"/>
  <c r="AI35" i="37"/>
  <c r="AF34" i="37"/>
  <c r="AF35" i="37"/>
  <c r="AF22" i="37"/>
  <c r="AF28" i="37"/>
  <c r="AJ23" i="37"/>
  <c r="AJ27" i="37"/>
  <c r="AJ34" i="37"/>
  <c r="AJ35" i="37"/>
  <c r="AJ22" i="37"/>
  <c r="AG25" i="37"/>
  <c r="G28" i="30"/>
  <c r="G32" i="30"/>
  <c r="AI25" i="37"/>
  <c r="AG23" i="37"/>
  <c r="AG27" i="37"/>
  <c r="AG34" i="37"/>
  <c r="AG35" i="37"/>
  <c r="AG22" i="37"/>
  <c r="AH22" i="37"/>
  <c r="AH25" i="37"/>
  <c r="AI23" i="37"/>
  <c r="AI27" i="37"/>
  <c r="G30" i="30"/>
  <c r="AC15" i="37"/>
  <c r="AC21" i="37"/>
  <c r="AC23" i="37"/>
  <c r="F20" i="30"/>
  <c r="AB15" i="37"/>
  <c r="AB21" i="37"/>
  <c r="AA15" i="37"/>
  <c r="AA21" i="37"/>
  <c r="AA23" i="37"/>
  <c r="F20" i="32"/>
  <c r="Z21" i="37"/>
  <c r="Z20" i="37"/>
  <c r="AD15" i="37"/>
  <c r="BM9" i="15" a="1"/>
  <c r="BM9" i="15"/>
  <c r="BM10" i="15" a="1"/>
  <c r="BN10" i="15"/>
  <c r="BZ46" i="15" a="1"/>
  <c r="BZ50" i="15"/>
  <c r="BZ31" i="15" a="1"/>
  <c r="BZ34" i="15"/>
  <c r="BZ26" i="15" a="1"/>
  <c r="CA29" i="15"/>
  <c r="AH24" i="37"/>
  <c r="AH26" i="37"/>
  <c r="AF26" i="37"/>
  <c r="AF24" i="37"/>
  <c r="AG24" i="37"/>
  <c r="AG26" i="37"/>
  <c r="AG30" i="37"/>
  <c r="AG41" i="37"/>
  <c r="AG46" i="37"/>
  <c r="G33" i="30"/>
  <c r="G34" i="30"/>
  <c r="AI26" i="37"/>
  <c r="AI30" i="37"/>
  <c r="AI41" i="37"/>
  <c r="AI46" i="37"/>
  <c r="AI24" i="37"/>
  <c r="AH28" i="37"/>
  <c r="AI28" i="37"/>
  <c r="AG28" i="37"/>
  <c r="AJ28" i="37"/>
  <c r="AJ24" i="37"/>
  <c r="AJ26" i="37"/>
  <c r="AJ30" i="37"/>
  <c r="AJ41" i="37"/>
  <c r="AJ46" i="37"/>
  <c r="G40" i="30"/>
  <c r="AA20" i="37"/>
  <c r="AA22" i="37"/>
  <c r="F25" i="32"/>
  <c r="F28" i="32"/>
  <c r="F32" i="32"/>
  <c r="BM10" i="15"/>
  <c r="AB20" i="37"/>
  <c r="AB22" i="37"/>
  <c r="F26" i="30"/>
  <c r="BP10" i="15"/>
  <c r="AC20" i="37"/>
  <c r="AC25" i="37"/>
  <c r="BO10" i="15"/>
  <c r="CA48" i="15"/>
  <c r="BZ48" i="15"/>
  <c r="BQ13" i="15"/>
  <c r="BR13" i="15"/>
  <c r="BZ49" i="15"/>
  <c r="CA50" i="15"/>
  <c r="CA46" i="15"/>
  <c r="BZ46" i="15"/>
  <c r="CA47" i="15"/>
  <c r="BZ47" i="15"/>
  <c r="CA49" i="15"/>
  <c r="BZ27" i="15"/>
  <c r="BN9" i="15"/>
  <c r="BZ30" i="15"/>
  <c r="CA31" i="15"/>
  <c r="CA33" i="15"/>
  <c r="BZ29" i="15"/>
  <c r="BZ28" i="15"/>
  <c r="BQ9" i="15"/>
  <c r="BR9" i="15"/>
  <c r="CA26" i="15"/>
  <c r="CA30" i="15"/>
  <c r="BZ35" i="15"/>
  <c r="BO9" i="15"/>
  <c r="CA35" i="15"/>
  <c r="CA27" i="15"/>
  <c r="F25" i="30"/>
  <c r="Z25" i="37"/>
  <c r="AC27" i="37"/>
  <c r="AD21" i="37"/>
  <c r="AD23" i="37"/>
  <c r="AD20" i="37"/>
  <c r="AB34" i="37"/>
  <c r="AB35" i="37"/>
  <c r="AA34" i="37"/>
  <c r="AA35" i="37"/>
  <c r="Z22" i="37"/>
  <c r="Z34" i="37"/>
  <c r="Z35" i="37"/>
  <c r="BZ33" i="15"/>
  <c r="BZ31" i="15"/>
  <c r="AB23" i="37"/>
  <c r="AC34" i="37"/>
  <c r="AC35" i="37"/>
  <c r="AA27" i="37"/>
  <c r="CA32" i="15"/>
  <c r="BZ32" i="15"/>
  <c r="BZ26" i="15"/>
  <c r="CA28" i="15"/>
  <c r="CA34" i="15"/>
  <c r="Z23" i="37"/>
  <c r="AI29" i="37"/>
  <c r="AG29" i="37"/>
  <c r="G43" i="30"/>
  <c r="AH30" i="37"/>
  <c r="AH41" i="37"/>
  <c r="AH46" i="37"/>
  <c r="AH29" i="37"/>
  <c r="AJ29" i="37"/>
  <c r="AF30" i="37"/>
  <c r="AF41" i="37"/>
  <c r="AF46" i="37"/>
  <c r="AF29" i="37"/>
  <c r="AA25" i="37"/>
  <c r="F28" i="30"/>
  <c r="F32" i="30"/>
  <c r="F27" i="30"/>
  <c r="F31" i="30"/>
  <c r="F30" i="32"/>
  <c r="F27" i="32"/>
  <c r="F33" i="32"/>
  <c r="AB25" i="37"/>
  <c r="F39" i="30"/>
  <c r="F40" i="30"/>
  <c r="F30" i="30"/>
  <c r="AC22" i="37"/>
  <c r="AC26" i="37"/>
  <c r="AC30" i="37"/>
  <c r="AC41" i="37"/>
  <c r="AC46" i="37"/>
  <c r="AD25" i="37"/>
  <c r="BQ11" i="15"/>
  <c r="BR11" i="15"/>
  <c r="BQ10" i="15"/>
  <c r="BR10" i="15"/>
  <c r="AD27" i="37"/>
  <c r="Z26" i="37"/>
  <c r="Z30" i="37"/>
  <c r="Z41" i="37"/>
  <c r="Z46" i="37"/>
  <c r="Z24" i="37"/>
  <c r="AB26" i="37"/>
  <c r="AB30" i="37"/>
  <c r="AB41" i="37"/>
  <c r="AB46" i="37"/>
  <c r="AB24" i="37"/>
  <c r="AA28" i="37"/>
  <c r="Z27" i="37"/>
  <c r="AA26" i="37"/>
  <c r="AA24" i="37"/>
  <c r="AB27" i="37"/>
  <c r="AD22" i="37"/>
  <c r="AD34" i="37"/>
  <c r="AD35" i="37"/>
  <c r="F31" i="32"/>
  <c r="F34" i="32"/>
  <c r="F34" i="30"/>
  <c r="AC28" i="37"/>
  <c r="AC24" i="37"/>
  <c r="F33" i="30"/>
  <c r="AB29" i="37"/>
  <c r="AA29" i="37"/>
  <c r="AA30" i="37"/>
  <c r="AA41" i="37"/>
  <c r="AA46" i="37"/>
  <c r="D13" i="30"/>
  <c r="D13" i="31"/>
  <c r="N9" i="37"/>
  <c r="D13" i="32"/>
  <c r="P9" i="37"/>
  <c r="Q9" i="37"/>
  <c r="R9" i="37"/>
  <c r="O9" i="37"/>
  <c r="AD24" i="37"/>
  <c r="AD26" i="37"/>
  <c r="AD30" i="37"/>
  <c r="AD41" i="37"/>
  <c r="AD46" i="37"/>
  <c r="Z29" i="37"/>
  <c r="Z28" i="37"/>
  <c r="AD28" i="37"/>
  <c r="AC29" i="37"/>
  <c r="AB28" i="37"/>
  <c r="I9" i="37"/>
  <c r="H9" i="37"/>
  <c r="C13" i="30"/>
  <c r="C13" i="32"/>
  <c r="C13" i="31"/>
  <c r="L9" i="37"/>
  <c r="J9" i="37"/>
  <c r="K9" i="37"/>
  <c r="AD29" i="37"/>
  <c r="C23" i="30"/>
  <c r="C29" i="30"/>
  <c r="C15" i="30"/>
  <c r="C19" i="30"/>
  <c r="C14" i="30"/>
  <c r="N11" i="37"/>
  <c r="N14" i="37"/>
  <c r="N18" i="37"/>
  <c r="N10" i="37"/>
  <c r="K11" i="37"/>
  <c r="K14" i="37"/>
  <c r="K18" i="37"/>
  <c r="K10" i="37"/>
  <c r="C14" i="32"/>
  <c r="C15" i="32"/>
  <c r="C19" i="32"/>
  <c r="C23" i="32"/>
  <c r="C29" i="32"/>
  <c r="O10" i="37"/>
  <c r="O11" i="37"/>
  <c r="O14" i="37"/>
  <c r="O18" i="37"/>
  <c r="D23" i="32"/>
  <c r="D29" i="32"/>
  <c r="D14" i="32"/>
  <c r="D15" i="32"/>
  <c r="D19" i="32"/>
  <c r="J18" i="37"/>
  <c r="J11" i="37"/>
  <c r="J14" i="37"/>
  <c r="J10" i="37"/>
  <c r="R11" i="37"/>
  <c r="R14" i="37"/>
  <c r="R10" i="37"/>
  <c r="R18" i="37"/>
  <c r="I10" i="37"/>
  <c r="I11" i="37"/>
  <c r="I14" i="37"/>
  <c r="I18" i="37"/>
  <c r="P11" i="37"/>
  <c r="P14" i="37"/>
  <c r="P18" i="37"/>
  <c r="P10" i="37"/>
  <c r="D14" i="30"/>
  <c r="D23" i="30"/>
  <c r="D29" i="30"/>
  <c r="D15" i="30"/>
  <c r="D19" i="30"/>
  <c r="L18" i="37"/>
  <c r="L11" i="37"/>
  <c r="L14" i="37"/>
  <c r="L10" i="37"/>
  <c r="H11" i="37"/>
  <c r="H14" i="37"/>
  <c r="H10" i="37"/>
  <c r="H18" i="37"/>
  <c r="Q11" i="37"/>
  <c r="Q14" i="37"/>
  <c r="Q10" i="37"/>
  <c r="Q18" i="37"/>
  <c r="P15" i="37"/>
  <c r="P21" i="37"/>
  <c r="P23" i="37"/>
  <c r="N15" i="37"/>
  <c r="N21" i="37"/>
  <c r="Q15" i="37"/>
  <c r="Q20" i="37"/>
  <c r="I15" i="37"/>
  <c r="I21" i="37"/>
  <c r="I23" i="37"/>
  <c r="J15" i="37"/>
  <c r="J20" i="37"/>
  <c r="O15" i="37"/>
  <c r="O21" i="37"/>
  <c r="K15" i="37"/>
  <c r="K20" i="37"/>
  <c r="D20" i="32"/>
  <c r="C20" i="32"/>
  <c r="C28" i="32"/>
  <c r="H15" i="37"/>
  <c r="D20" i="30"/>
  <c r="R15" i="37"/>
  <c r="C20" i="30"/>
  <c r="L15" i="37"/>
  <c r="D25" i="32"/>
  <c r="D28" i="32"/>
  <c r="D32" i="32"/>
  <c r="C32" i="32"/>
  <c r="Q21" i="37"/>
  <c r="Q23" i="37"/>
  <c r="Q27" i="37"/>
  <c r="N20" i="37"/>
  <c r="N25" i="37"/>
  <c r="J21" i="37"/>
  <c r="J23" i="37"/>
  <c r="J27" i="37"/>
  <c r="O20" i="37"/>
  <c r="O25" i="37"/>
  <c r="P20" i="37"/>
  <c r="P25" i="37"/>
  <c r="I20" i="37"/>
  <c r="I25" i="37"/>
  <c r="K21" i="37"/>
  <c r="K23" i="37"/>
  <c r="O23" i="37"/>
  <c r="O27" i="37"/>
  <c r="C6" i="32"/>
  <c r="C25" i="32"/>
  <c r="C25" i="30"/>
  <c r="C26" i="30"/>
  <c r="P27" i="37"/>
  <c r="I27" i="37"/>
  <c r="R21" i="37"/>
  <c r="R23" i="37"/>
  <c r="R20" i="37"/>
  <c r="L20" i="37"/>
  <c r="L21" i="37"/>
  <c r="H20" i="37"/>
  <c r="H21" i="37"/>
  <c r="H23" i="37"/>
  <c r="D26" i="30"/>
  <c r="D25" i="30"/>
  <c r="N23" i="37"/>
  <c r="C28" i="30"/>
  <c r="C32" i="30"/>
  <c r="C27" i="30"/>
  <c r="C27" i="32"/>
  <c r="C33" i="32"/>
  <c r="C30" i="32"/>
  <c r="D27" i="32"/>
  <c r="D33" i="32"/>
  <c r="D30" i="32"/>
  <c r="D28" i="30"/>
  <c r="D32" i="30"/>
  <c r="D27" i="30"/>
  <c r="D31" i="30"/>
  <c r="N22" i="37"/>
  <c r="N24" i="37"/>
  <c r="D5" i="32"/>
  <c r="C8" i="32"/>
  <c r="C30" i="30"/>
  <c r="D30" i="30"/>
  <c r="Q22" i="37"/>
  <c r="Q28" i="37"/>
  <c r="Q25" i="37"/>
  <c r="O22" i="37"/>
  <c r="O24" i="37"/>
  <c r="P22" i="37"/>
  <c r="P26" i="37"/>
  <c r="P30" i="37"/>
  <c r="P41" i="37"/>
  <c r="J22" i="37"/>
  <c r="J26" i="37"/>
  <c r="J30" i="37"/>
  <c r="J41" i="37"/>
  <c r="J25" i="37"/>
  <c r="I22" i="37"/>
  <c r="I26" i="37"/>
  <c r="I30" i="37"/>
  <c r="I41" i="37"/>
  <c r="K22" i="37"/>
  <c r="K26" i="37"/>
  <c r="K30" i="37"/>
  <c r="K41" i="37"/>
  <c r="K25" i="37"/>
  <c r="R25" i="37"/>
  <c r="H25" i="37"/>
  <c r="L22" i="37"/>
  <c r="L24" i="37"/>
  <c r="R27" i="37"/>
  <c r="H22" i="37"/>
  <c r="L23" i="37"/>
  <c r="N26" i="37"/>
  <c r="N30" i="37"/>
  <c r="N41" i="37"/>
  <c r="K27" i="37"/>
  <c r="H27" i="37"/>
  <c r="N27" i="37"/>
  <c r="L25" i="37"/>
  <c r="R22" i="37"/>
  <c r="C31" i="32"/>
  <c r="C34" i="32"/>
  <c r="D31" i="32"/>
  <c r="D34" i="32"/>
  <c r="D6" i="32"/>
  <c r="D7" i="32"/>
  <c r="J28" i="37"/>
  <c r="Q24" i="37"/>
  <c r="J24" i="37"/>
  <c r="Q26" i="37"/>
  <c r="Q30" i="37"/>
  <c r="Q41" i="37"/>
  <c r="P24" i="37"/>
  <c r="O28" i="37"/>
  <c r="P28" i="37"/>
  <c r="I24" i="37"/>
  <c r="I28" i="37"/>
  <c r="O26" i="37"/>
  <c r="K24" i="37"/>
  <c r="L26" i="37"/>
  <c r="L30" i="37"/>
  <c r="L41" i="37"/>
  <c r="J29" i="37"/>
  <c r="I29" i="37"/>
  <c r="H26" i="37"/>
  <c r="H30" i="37"/>
  <c r="H41" i="37"/>
  <c r="H24" i="37"/>
  <c r="L27" i="37"/>
  <c r="K29" i="37"/>
  <c r="K28" i="37"/>
  <c r="C31" i="30"/>
  <c r="P29" i="37"/>
  <c r="D34" i="30"/>
  <c r="D33" i="30"/>
  <c r="H28" i="37"/>
  <c r="R26" i="37"/>
  <c r="R30" i="37"/>
  <c r="R41" i="37"/>
  <c r="R24" i="37"/>
  <c r="N29" i="37"/>
  <c r="N28" i="37"/>
  <c r="R28" i="37"/>
  <c r="E5" i="32"/>
  <c r="E7" i="32"/>
  <c r="D8" i="32"/>
  <c r="Q29" i="37"/>
  <c r="O30" i="37"/>
  <c r="O41" i="37"/>
  <c r="O29" i="37"/>
  <c r="R29" i="37"/>
  <c r="C34" i="30"/>
  <c r="C33" i="30"/>
  <c r="L28" i="37"/>
  <c r="L29" i="37"/>
  <c r="H29" i="37"/>
  <c r="BZ21" i="15" a="1"/>
  <c r="CA21" i="15"/>
  <c r="BC16" i="15" a="1"/>
  <c r="BC20" i="15"/>
  <c r="BM17" i="15" a="1"/>
  <c r="BN17" i="15"/>
  <c r="CF10" i="15" a="1"/>
  <c r="CG12" i="15"/>
  <c r="CA25" i="15"/>
  <c r="BZ24" i="15"/>
  <c r="CA23" i="15"/>
  <c r="BZ25" i="15"/>
  <c r="BZ23" i="15"/>
  <c r="BQ8" i="15"/>
  <c r="BR8" i="15"/>
  <c r="BZ21" i="15"/>
  <c r="BZ22" i="15"/>
  <c r="CA22" i="15"/>
  <c r="CA24" i="15"/>
  <c r="BP17" i="15"/>
  <c r="CG14" i="15"/>
  <c r="CG10" i="15"/>
  <c r="CG11" i="15"/>
  <c r="CF10" i="15"/>
  <c r="CF13" i="15"/>
  <c r="CG13" i="15"/>
  <c r="CF14" i="15"/>
  <c r="CF12" i="15"/>
  <c r="BQ16" i="15"/>
  <c r="BR16" i="15"/>
  <c r="BC16" i="15"/>
  <c r="BC17" i="15"/>
  <c r="BD18" i="15"/>
  <c r="BO17" i="15"/>
  <c r="BM17" i="15"/>
  <c r="BD17" i="15"/>
  <c r="CF11" i="15"/>
  <c r="BD19" i="15"/>
  <c r="BD20" i="15"/>
  <c r="BD16" i="15"/>
  <c r="BC19" i="15"/>
  <c r="BC18" i="15"/>
  <c r="AN17" i="15"/>
  <c r="AO17" i="15"/>
  <c r="E12" i="30"/>
  <c r="E41" i="30"/>
  <c r="F42" i="30"/>
  <c r="F43" i="30"/>
  <c r="E12" i="32"/>
  <c r="E41" i="32"/>
  <c r="C41" i="32"/>
  <c r="F42" i="32"/>
  <c r="F43" i="32"/>
  <c r="E42" i="32"/>
  <c r="E43" i="32"/>
  <c r="C43" i="32"/>
  <c r="R17" i="29"/>
  <c r="I11" i="29"/>
  <c r="J11" i="29"/>
  <c r="C42" i="32"/>
  <c r="BM8" i="15" a="1"/>
  <c r="BM8" i="15"/>
  <c r="BM16" i="15" a="1"/>
  <c r="BN16" i="15"/>
  <c r="BM19" i="15" a="1"/>
  <c r="BN19" i="15"/>
  <c r="BM14" i="15" a="1"/>
  <c r="BM14" i="15"/>
  <c r="BN14" i="15"/>
  <c r="BM19" i="15"/>
  <c r="BO16" i="15"/>
  <c r="BO19" i="15"/>
  <c r="BN8" i="15"/>
  <c r="BM16" i="15"/>
  <c r="CF5" i="15" a="1"/>
  <c r="CG5" i="15"/>
  <c r="CG7" i="15"/>
  <c r="CF8" i="15"/>
  <c r="CG8" i="15"/>
  <c r="CG6" i="15"/>
  <c r="CF5" i="15"/>
  <c r="CF6" i="15"/>
  <c r="CG9" i="15"/>
  <c r="CF7" i="15"/>
  <c r="BQ14" i="15"/>
  <c r="BR14" i="15"/>
  <c r="CF9" i="15"/>
  <c r="CF16" i="15" a="1"/>
  <c r="CG19" i="15"/>
  <c r="CF16" i="15"/>
  <c r="CG20" i="15"/>
  <c r="CG18" i="15"/>
  <c r="CF17" i="15"/>
  <c r="CG17" i="15"/>
  <c r="CG16" i="15"/>
  <c r="CF20" i="15"/>
  <c r="CF18" i="15"/>
  <c r="BQ17" i="15"/>
  <c r="BR17" i="15"/>
  <c r="CF19" i="15"/>
  <c r="E13" i="32"/>
  <c r="V9" i="37"/>
  <c r="W9" i="37"/>
  <c r="X9" i="37"/>
  <c r="T9" i="37"/>
  <c r="E13" i="30"/>
  <c r="U9" i="37"/>
  <c r="E13" i="31"/>
  <c r="V18" i="37"/>
  <c r="V11" i="37"/>
  <c r="V14" i="37"/>
  <c r="V10" i="37"/>
  <c r="U11" i="37"/>
  <c r="U14" i="37"/>
  <c r="U10" i="37"/>
  <c r="U18" i="37"/>
  <c r="W10" i="37"/>
  <c r="W18" i="37"/>
  <c r="W11" i="37"/>
  <c r="W14" i="37"/>
  <c r="X11" i="37"/>
  <c r="X14" i="37"/>
  <c r="X18" i="37"/>
  <c r="X10" i="37"/>
  <c r="T10" i="37"/>
  <c r="T11" i="37"/>
  <c r="T14" i="37"/>
  <c r="T18" i="37"/>
  <c r="E15" i="32"/>
  <c r="E19" i="32"/>
  <c r="E14" i="32"/>
  <c r="E23" i="32"/>
  <c r="E29" i="32"/>
  <c r="E14" i="30"/>
  <c r="E23" i="30"/>
  <c r="E29" i="30"/>
  <c r="E15" i="30"/>
  <c r="E19" i="30"/>
  <c r="E20" i="30"/>
  <c r="E25" i="30"/>
  <c r="W15" i="37"/>
  <c r="W21" i="37"/>
  <c r="X15" i="37"/>
  <c r="E20" i="32"/>
  <c r="T15" i="37"/>
  <c r="U15" i="37"/>
  <c r="V15" i="37"/>
  <c r="W20" i="37"/>
  <c r="W25" i="37"/>
  <c r="E26" i="30"/>
  <c r="M7" i="30"/>
  <c r="E28" i="32"/>
  <c r="K7" i="32"/>
  <c r="L7" i="32"/>
  <c r="M7" i="32"/>
  <c r="E6" i="32"/>
  <c r="E25" i="32"/>
  <c r="W37" i="37"/>
  <c r="W34" i="37"/>
  <c r="W35" i="37"/>
  <c r="U21" i="37"/>
  <c r="U20" i="37"/>
  <c r="V21" i="37"/>
  <c r="V20" i="37"/>
  <c r="X20" i="37"/>
  <c r="X21" i="37"/>
  <c r="E39" i="30"/>
  <c r="K11" i="30"/>
  <c r="W23" i="37"/>
  <c r="T20" i="37"/>
  <c r="T21" i="37"/>
  <c r="E40" i="30"/>
  <c r="C40" i="30"/>
  <c r="C39" i="30"/>
  <c r="E30" i="30"/>
  <c r="M12" i="30"/>
  <c r="W22" i="37"/>
  <c r="W24" i="37"/>
  <c r="E27" i="30"/>
  <c r="E31" i="30"/>
  <c r="K7" i="30"/>
  <c r="J7" i="30"/>
  <c r="Q14" i="29"/>
  <c r="U15" i="29"/>
  <c r="U17" i="29"/>
  <c r="M11" i="30"/>
  <c r="J11" i="30"/>
  <c r="Q20" i="29"/>
  <c r="H18" i="29"/>
  <c r="L11" i="30"/>
  <c r="L7" i="30"/>
  <c r="E42" i="30"/>
  <c r="W38" i="37"/>
  <c r="W44" i="37"/>
  <c r="W47" i="37"/>
  <c r="E28" i="30"/>
  <c r="V25" i="37"/>
  <c r="U25" i="37"/>
  <c r="W27" i="37"/>
  <c r="X37" i="37"/>
  <c r="X22" i="37"/>
  <c r="X34" i="37"/>
  <c r="X35" i="37"/>
  <c r="F5" i="32"/>
  <c r="E8" i="32"/>
  <c r="M15" i="32"/>
  <c r="L15" i="32"/>
  <c r="E32" i="32"/>
  <c r="K15" i="32"/>
  <c r="V23" i="37"/>
  <c r="V37" i="37"/>
  <c r="V34" i="37"/>
  <c r="V35" i="37"/>
  <c r="V22" i="37"/>
  <c r="U23" i="37"/>
  <c r="U34" i="37"/>
  <c r="U35" i="37"/>
  <c r="U37" i="37"/>
  <c r="U22" i="37"/>
  <c r="E30" i="32"/>
  <c r="E27" i="32"/>
  <c r="T25" i="37"/>
  <c r="X23" i="37"/>
  <c r="T34" i="37"/>
  <c r="T35" i="37"/>
  <c r="T22" i="37"/>
  <c r="T37" i="37"/>
  <c r="J7" i="32"/>
  <c r="R14" i="29"/>
  <c r="V15" i="29"/>
  <c r="V17" i="29"/>
  <c r="I8" i="29"/>
  <c r="J8" i="29"/>
  <c r="T23" i="37"/>
  <c r="X25" i="37"/>
  <c r="E43" i="30"/>
  <c r="C43" i="30"/>
  <c r="Q17" i="29"/>
  <c r="C42" i="30"/>
  <c r="W26" i="37"/>
  <c r="W30" i="37"/>
  <c r="W41" i="37"/>
  <c r="M8" i="30"/>
  <c r="J8" i="30"/>
  <c r="Q15" i="29"/>
  <c r="U21" i="29"/>
  <c r="U23" i="29"/>
  <c r="L12" i="30"/>
  <c r="K12" i="30"/>
  <c r="J12" i="30"/>
  <c r="Q21" i="29"/>
  <c r="K13" i="30"/>
  <c r="L14" i="30"/>
  <c r="L20" i="30"/>
  <c r="M14" i="30"/>
  <c r="M20" i="30"/>
  <c r="K8" i="30"/>
  <c r="K10" i="30"/>
  <c r="M13" i="30"/>
  <c r="J13" i="30"/>
  <c r="Q22" i="29"/>
  <c r="K14" i="30"/>
  <c r="K21" i="30"/>
  <c r="L13" i="30"/>
  <c r="L8" i="30"/>
  <c r="L10" i="30"/>
  <c r="L15" i="30"/>
  <c r="M15" i="30"/>
  <c r="E32" i="30"/>
  <c r="E33" i="30"/>
  <c r="V38" i="37"/>
  <c r="V44" i="37"/>
  <c r="V47" i="37"/>
  <c r="K15" i="30"/>
  <c r="W28" i="37"/>
  <c r="T26" i="37"/>
  <c r="T30" i="37"/>
  <c r="T41" i="37"/>
  <c r="T24" i="37"/>
  <c r="U24" i="37"/>
  <c r="U26" i="37"/>
  <c r="U30" i="37"/>
  <c r="U41" i="37"/>
  <c r="M8" i="32"/>
  <c r="K8" i="32"/>
  <c r="K10" i="32"/>
  <c r="L8" i="32"/>
  <c r="L10" i="32"/>
  <c r="L12" i="32"/>
  <c r="M12" i="32"/>
  <c r="J12" i="32"/>
  <c r="R21" i="29"/>
  <c r="H19" i="29"/>
  <c r="K12" i="32"/>
  <c r="U27" i="37"/>
  <c r="T38" i="37"/>
  <c r="T44" i="37"/>
  <c r="T47" i="37"/>
  <c r="X38" i="37"/>
  <c r="X44" i="37"/>
  <c r="X47" i="37"/>
  <c r="T27" i="37"/>
  <c r="X27" i="37"/>
  <c r="E31" i="32"/>
  <c r="E34" i="32"/>
  <c r="K14" i="32"/>
  <c r="L14" i="32"/>
  <c r="K13" i="32"/>
  <c r="K16" i="32"/>
  <c r="M13" i="32"/>
  <c r="L13" i="32"/>
  <c r="L16" i="32"/>
  <c r="M14" i="32"/>
  <c r="V26" i="37"/>
  <c r="V30" i="37"/>
  <c r="V41" i="37"/>
  <c r="V24" i="37"/>
  <c r="J15" i="32"/>
  <c r="R24" i="29"/>
  <c r="H22" i="29"/>
  <c r="X26" i="37"/>
  <c r="X30" i="37"/>
  <c r="X41" i="37"/>
  <c r="X24" i="37"/>
  <c r="L21" i="30"/>
  <c r="V27" i="37"/>
  <c r="F7" i="32"/>
  <c r="F6" i="32"/>
  <c r="U38" i="37"/>
  <c r="U44" i="37"/>
  <c r="U47" i="37"/>
  <c r="E33" i="32"/>
  <c r="J13" i="32"/>
  <c r="R22" i="29"/>
  <c r="H20" i="29"/>
  <c r="J15" i="30"/>
  <c r="Q24" i="29"/>
  <c r="M21" i="30"/>
  <c r="J21" i="30"/>
  <c r="Q29" i="29"/>
  <c r="J14" i="30"/>
  <c r="Q23" i="29"/>
  <c r="M19" i="30"/>
  <c r="L18" i="30"/>
  <c r="K19" i="30"/>
  <c r="M18" i="30"/>
  <c r="W31" i="37"/>
  <c r="W40" i="37"/>
  <c r="W46" i="37"/>
  <c r="L19" i="30"/>
  <c r="W29" i="37"/>
  <c r="M10" i="30"/>
  <c r="J10" i="30"/>
  <c r="Q16" i="29"/>
  <c r="K16" i="30"/>
  <c r="E34" i="30"/>
  <c r="L16" i="30"/>
  <c r="V29" i="37"/>
  <c r="K20" i="30"/>
  <c r="J20" i="30"/>
  <c r="Q28" i="29"/>
  <c r="K18" i="30"/>
  <c r="M16" i="30"/>
  <c r="J16" i="30"/>
  <c r="Q25" i="29"/>
  <c r="V31" i="37"/>
  <c r="V40" i="37"/>
  <c r="V46" i="37"/>
  <c r="M16" i="32"/>
  <c r="J16" i="32"/>
  <c r="R25" i="29"/>
  <c r="H23" i="29"/>
  <c r="X31" i="37"/>
  <c r="X40" i="37"/>
  <c r="X46" i="37"/>
  <c r="T31" i="37"/>
  <c r="T40" i="37"/>
  <c r="T46" i="37"/>
  <c r="U31" i="37"/>
  <c r="U40" i="37"/>
  <c r="U46" i="37"/>
  <c r="K18" i="32"/>
  <c r="K19" i="32"/>
  <c r="K21" i="32"/>
  <c r="K20" i="32"/>
  <c r="F8" i="32"/>
  <c r="G5" i="32"/>
  <c r="M21" i="32"/>
  <c r="J23" i="32"/>
  <c r="J14" i="32"/>
  <c r="R23" i="29"/>
  <c r="H21" i="29"/>
  <c r="M19" i="32"/>
  <c r="J19" i="32"/>
  <c r="R27" i="29"/>
  <c r="H25" i="29"/>
  <c r="M18" i="32"/>
  <c r="M20" i="32"/>
  <c r="J20" i="32"/>
  <c r="R28" i="29"/>
  <c r="L21" i="32"/>
  <c r="L18" i="32"/>
  <c r="L19" i="32"/>
  <c r="L20" i="32"/>
  <c r="T28" i="37"/>
  <c r="T29" i="37"/>
  <c r="U28" i="37"/>
  <c r="U29" i="37"/>
  <c r="J23" i="30"/>
  <c r="J8" i="32"/>
  <c r="R15" i="29"/>
  <c r="V21" i="29"/>
  <c r="V23" i="29"/>
  <c r="I9" i="29"/>
  <c r="M10" i="32"/>
  <c r="J10" i="32"/>
  <c r="R16" i="29"/>
  <c r="X29" i="37"/>
  <c r="X28" i="37"/>
  <c r="V28" i="37"/>
  <c r="J18" i="32"/>
  <c r="R26" i="29"/>
  <c r="H24" i="29"/>
  <c r="J19" i="30"/>
  <c r="Q27" i="29"/>
  <c r="J18" i="30"/>
  <c r="Q26" i="29"/>
  <c r="AC37" i="37"/>
  <c r="AC38" i="37"/>
  <c r="AC44" i="37"/>
  <c r="AC47" i="37"/>
  <c r="Z37" i="37"/>
  <c r="Z38" i="37"/>
  <c r="Z31" i="37"/>
  <c r="Z40" i="37"/>
  <c r="AD37" i="37"/>
  <c r="AD38" i="37"/>
  <c r="AD44" i="37"/>
  <c r="AD47" i="37"/>
  <c r="AB37" i="37"/>
  <c r="AB38" i="37"/>
  <c r="AB31" i="37"/>
  <c r="AB40" i="37"/>
  <c r="J21" i="32"/>
  <c r="R29" i="29"/>
  <c r="H26" i="29"/>
  <c r="H27" i="29"/>
  <c r="AA37" i="37"/>
  <c r="AA38" i="37"/>
  <c r="AA31" i="37"/>
  <c r="AA40" i="37"/>
  <c r="I10" i="29"/>
  <c r="J10" i="29"/>
  <c r="J9" i="29"/>
  <c r="Z44" i="37"/>
  <c r="Z47" i="37"/>
  <c r="G6" i="32"/>
  <c r="G8" i="32"/>
  <c r="G7" i="32"/>
  <c r="AA44" i="37"/>
  <c r="AA47" i="37"/>
  <c r="AB44" i="37"/>
  <c r="AB47" i="37"/>
  <c r="AD31" i="37"/>
  <c r="AD40" i="37"/>
  <c r="AC31" i="37"/>
  <c r="AC40" i="37"/>
  <c r="AG37" i="37"/>
  <c r="AG38" i="37"/>
  <c r="AG44" i="37"/>
  <c r="AG47" i="37"/>
  <c r="AI37" i="37"/>
  <c r="AI38" i="37"/>
  <c r="AI31" i="37"/>
  <c r="AI40" i="37"/>
  <c r="AJ37" i="37"/>
  <c r="AJ38" i="37"/>
  <c r="AJ44" i="37"/>
  <c r="AJ47" i="37"/>
  <c r="AH37" i="37"/>
  <c r="AH38" i="37"/>
  <c r="AH31" i="37"/>
  <c r="AH40" i="37"/>
  <c r="AF37" i="37"/>
  <c r="AF38" i="37"/>
  <c r="AF31" i="37"/>
  <c r="AF40" i="37"/>
  <c r="AF44" i="37"/>
  <c r="AF47" i="37"/>
  <c r="K31" i="37"/>
  <c r="K40" i="37"/>
  <c r="AG31" i="37"/>
  <c r="AG40" i="37"/>
  <c r="AJ31" i="37"/>
  <c r="AJ40" i="37"/>
  <c r="AI44" i="37"/>
  <c r="AI47" i="37"/>
  <c r="AH44" i="37"/>
  <c r="AH47" i="37"/>
  <c r="P31" i="37"/>
  <c r="P40" i="37"/>
  <c r="N31" i="37"/>
  <c r="N40" i="37"/>
  <c r="J31" i="37"/>
  <c r="J40" i="37"/>
  <c r="B31" i="37"/>
  <c r="B40" i="37"/>
  <c r="R31" i="37"/>
  <c r="R40" i="37"/>
  <c r="L31" i="37"/>
  <c r="L40" i="37"/>
  <c r="H31" i="37"/>
  <c r="H40" i="37"/>
  <c r="C31" i="37"/>
  <c r="C40" i="37"/>
  <c r="Q31" i="37"/>
  <c r="Q40" i="37"/>
  <c r="O31" i="37"/>
  <c r="O40" i="37"/>
  <c r="D31" i="37"/>
  <c r="D40" i="37"/>
  <c r="F31" i="37"/>
  <c r="F40" i="37"/>
  <c r="E31" i="37"/>
  <c r="E40" i="37"/>
  <c r="I31" i="37"/>
  <c r="I40" i="37"/>
  <c r="CF21" i="41" a="1"/>
  <c r="CF22" i="41"/>
  <c r="CF23" i="41"/>
  <c r="BQ18" i="41"/>
  <c r="BR18" i="41"/>
  <c r="CG24" i="41"/>
  <c r="CF21" i="41"/>
  <c r="CF24" i="41"/>
  <c r="CG21" i="41"/>
  <c r="CG22" i="41"/>
  <c r="CF25" i="41"/>
  <c r="CG23" i="41"/>
  <c r="CG25" i="41"/>
  <c r="Z19" i="41" a="1"/>
  <c r="Z19" i="41"/>
  <c r="AA19" i="41"/>
  <c r="AB19" i="41"/>
</calcChain>
</file>

<file path=xl/comments1.xml><?xml version="1.0" encoding="utf-8"?>
<comments xmlns="http://schemas.openxmlformats.org/spreadsheetml/2006/main">
  <authors>
    <author>Jose Soto</author>
  </authors>
  <commentList>
    <comment ref="N3" authorId="0">
      <text>
        <r>
          <rPr>
            <b/>
            <sz val="9"/>
            <color indexed="81"/>
            <rFont val="Tahoma"/>
            <family val="2"/>
          </rPr>
          <t>Select the number of dietary phases</t>
        </r>
      </text>
    </comment>
    <comment ref="G13" authorId="0">
      <text>
        <r>
          <rPr>
            <b/>
            <sz val="9"/>
            <color indexed="81"/>
            <rFont val="Tahoma"/>
            <family val="2"/>
          </rPr>
          <t>Select one of two options</t>
        </r>
      </text>
    </comment>
    <comment ref="G14" authorId="0">
      <text>
        <r>
          <rPr>
            <b/>
            <sz val="9"/>
            <color indexed="81"/>
            <rFont val="Tahoma"/>
            <family val="2"/>
          </rPr>
          <t xml:space="preserve">Select one of two option </t>
        </r>
      </text>
    </comment>
    <comment ref="G15" authorId="0">
      <text>
        <r>
          <rPr>
            <b/>
            <sz val="9"/>
            <color indexed="81"/>
            <rFont val="Tahoma"/>
            <family val="2"/>
          </rPr>
          <t>Select one of two options</t>
        </r>
      </text>
    </comment>
    <comment ref="L21" authorId="0">
      <text>
        <r>
          <rPr>
            <b/>
            <sz val="9"/>
            <color indexed="81"/>
            <rFont val="Tahoma"/>
            <family val="2"/>
          </rPr>
          <t>Inputs for NDF are needed from phase 3 and above</t>
        </r>
      </text>
    </comment>
  </commentList>
</comments>
</file>

<file path=xl/comments2.xml><?xml version="1.0" encoding="utf-8"?>
<comments xmlns="http://schemas.openxmlformats.org/spreadsheetml/2006/main">
  <authors>
    <author>Jose Soto</author>
  </authors>
  <commentList>
    <comment ref="N3" authorId="0">
      <text>
        <r>
          <rPr>
            <b/>
            <sz val="9"/>
            <color indexed="81"/>
            <rFont val="Tahoma"/>
            <family val="2"/>
          </rPr>
          <t>Select the number of dietary phases</t>
        </r>
      </text>
    </comment>
    <comment ref="G13" authorId="0">
      <text>
        <r>
          <rPr>
            <b/>
            <sz val="9"/>
            <color indexed="81"/>
            <rFont val="Tahoma"/>
            <family val="2"/>
          </rPr>
          <t>Select one of two options</t>
        </r>
      </text>
    </comment>
    <comment ref="G14" authorId="0">
      <text>
        <r>
          <rPr>
            <b/>
            <sz val="9"/>
            <color indexed="81"/>
            <rFont val="Tahoma"/>
            <family val="2"/>
          </rPr>
          <t xml:space="preserve">Select one of two option </t>
        </r>
      </text>
    </comment>
    <comment ref="G15" authorId="0">
      <text>
        <r>
          <rPr>
            <b/>
            <sz val="9"/>
            <color indexed="81"/>
            <rFont val="Tahoma"/>
            <family val="2"/>
          </rPr>
          <t>Select one of two options</t>
        </r>
      </text>
    </comment>
    <comment ref="L21" authorId="0">
      <text>
        <r>
          <rPr>
            <b/>
            <sz val="9"/>
            <color indexed="81"/>
            <rFont val="Tahoma"/>
            <family val="2"/>
          </rPr>
          <t>Inputs for NDF are needed from phase 3 and above</t>
        </r>
      </text>
    </comment>
  </commentList>
</comments>
</file>

<file path=xl/sharedStrings.xml><?xml version="1.0" encoding="utf-8"?>
<sst xmlns="http://schemas.openxmlformats.org/spreadsheetml/2006/main" count="1399" uniqueCount="304">
  <si>
    <t xml:space="preserve">Purpose: </t>
  </si>
  <si>
    <t>Cost, $/Ton</t>
  </si>
  <si>
    <t>NDF, %</t>
  </si>
  <si>
    <t>Item</t>
  </si>
  <si>
    <t>Phase</t>
  </si>
  <si>
    <t>Description:</t>
  </si>
  <si>
    <t>Instructions:</t>
  </si>
  <si>
    <t>Carcass price, $/lb</t>
  </si>
  <si>
    <t>Dietary Phase</t>
  </si>
  <si>
    <t>Energy Level</t>
  </si>
  <si>
    <t>NE, Kcal/lb</t>
  </si>
  <si>
    <t>Initial weight, lb</t>
  </si>
  <si>
    <t xml:space="preserve">  Starting weight</t>
  </si>
  <si>
    <t xml:space="preserve">  Final weight</t>
  </si>
  <si>
    <t xml:space="preserve">  Phase duration, d</t>
  </si>
  <si>
    <t xml:space="preserve">  Gain, lb</t>
  </si>
  <si>
    <t xml:space="preserve">  Predicted F/G</t>
  </si>
  <si>
    <t xml:space="preserve">  Total feed cost per phase, $/pig</t>
  </si>
  <si>
    <t xml:space="preserve">  Feed and other cost, $/pig</t>
  </si>
  <si>
    <t xml:space="preserve">  Income per pig, $/pig</t>
  </si>
  <si>
    <t>Live price, $/lb</t>
  </si>
  <si>
    <t>Ph1</t>
  </si>
  <si>
    <t>Ph2</t>
  </si>
  <si>
    <t>Ph3</t>
  </si>
  <si>
    <t>Ph4</t>
  </si>
  <si>
    <t>Ph5</t>
  </si>
  <si>
    <t>Ph6</t>
  </si>
  <si>
    <t xml:space="preserve">  Feed cost per/lb of gain, $/pig</t>
  </si>
  <si>
    <t>Final weight, lb</t>
  </si>
  <si>
    <t>Linear</t>
  </si>
  <si>
    <t>Cubic</t>
  </si>
  <si>
    <t>R-Square</t>
  </si>
  <si>
    <t>P1</t>
  </si>
  <si>
    <t xml:space="preserve">Quadratic </t>
  </si>
  <si>
    <t xml:space="preserve">  Total phase intake, lb/pig</t>
  </si>
  <si>
    <t xml:space="preserve">  IOFC by phase, $/pig</t>
  </si>
  <si>
    <t xml:space="preserve">  IOFFC by phase, $/pig</t>
  </si>
  <si>
    <t xml:space="preserve">  Total IOFC, $/pig</t>
  </si>
  <si>
    <t xml:space="preserve">  Phases duration, d</t>
  </si>
  <si>
    <t xml:space="preserve">  Total feed cost, $/pig</t>
  </si>
  <si>
    <t xml:space="preserve">  Total feed cost &amp; facility cost, $/pig</t>
  </si>
  <si>
    <t>Feeder pig cost (50 lb), $/pig</t>
  </si>
  <si>
    <t>Min</t>
  </si>
  <si>
    <t>Max</t>
  </si>
  <si>
    <t>Current ADG, lb</t>
  </si>
  <si>
    <t>Current Feed efficiency</t>
  </si>
  <si>
    <t>Section 1. Economics and System performance</t>
  </si>
  <si>
    <t>Current NE, Kcal/lb</t>
  </si>
  <si>
    <t xml:space="preserve">Yes </t>
  </si>
  <si>
    <t>No</t>
  </si>
  <si>
    <t>1. Lys Question</t>
  </si>
  <si>
    <t>4. Prediction Equations for Feed Cost, $/lb</t>
  </si>
  <si>
    <t xml:space="preserve">Eq. </t>
  </si>
  <si>
    <t>Int.</t>
  </si>
  <si>
    <t>NE</t>
  </si>
  <si>
    <t>Val.</t>
  </si>
  <si>
    <t>Cost</t>
  </si>
  <si>
    <t>Slope</t>
  </si>
  <si>
    <t>NDF</t>
  </si>
  <si>
    <t>Quad.</t>
  </si>
  <si>
    <t>P2</t>
  </si>
  <si>
    <t>P3</t>
  </si>
  <si>
    <t>P4</t>
  </si>
  <si>
    <t>Adj. R-Square</t>
  </si>
  <si>
    <t>Function</t>
  </si>
  <si>
    <t>Intercept</t>
  </si>
  <si>
    <t>SE Slope</t>
  </si>
  <si>
    <t>SE Intercept</t>
  </si>
  <si>
    <t>SE y</t>
  </si>
  <si>
    <t>F</t>
  </si>
  <si>
    <t>DF</t>
  </si>
  <si>
    <t>SS reg</t>
  </si>
  <si>
    <t>SS Resid</t>
  </si>
  <si>
    <t>Statistics</t>
  </si>
  <si>
    <t>Raw Data</t>
  </si>
  <si>
    <t xml:space="preserve">  Predicted ADFI, g/d</t>
  </si>
  <si>
    <t>Max Wt.</t>
  </si>
  <si>
    <t xml:space="preserve">  Average Starting Wt &amp; End Wt</t>
  </si>
  <si>
    <t>Weigth, lb</t>
  </si>
  <si>
    <t xml:space="preserve">Days </t>
  </si>
  <si>
    <t>ADG, lb</t>
  </si>
  <si>
    <t>F/G</t>
  </si>
  <si>
    <t>Adj. ADG, lb</t>
  </si>
  <si>
    <t>Adj. F/G</t>
  </si>
  <si>
    <t>ADG</t>
  </si>
  <si>
    <t>SID Lys, %</t>
  </si>
  <si>
    <t xml:space="preserve">  SID Lys, %</t>
  </si>
  <si>
    <t>SID Lys</t>
  </si>
  <si>
    <t>7. Prediction Equations for SID Lys, %</t>
  </si>
  <si>
    <t>8. Equation Statistics SID Lys, %</t>
  </si>
  <si>
    <t>Range NE (Kcal/lb)</t>
  </si>
  <si>
    <t>Select number of dietary phases</t>
  </si>
  <si>
    <t>4 Ph</t>
  </si>
  <si>
    <t>5 Ph</t>
  </si>
  <si>
    <t>6 Ph</t>
  </si>
  <si>
    <t>K</t>
  </si>
  <si>
    <t>2. Dietary Phases</t>
  </si>
  <si>
    <t>3. Growth Curve</t>
  </si>
  <si>
    <t>Current</t>
  </si>
  <si>
    <t xml:space="preserve">  Predicted Carcass yield (user inputs)</t>
  </si>
  <si>
    <t xml:space="preserve">This spreadsheet was created to allow the user to calculate the dietary net energy level for maximum profitability in growing-finishing pigs </t>
  </si>
  <si>
    <t>1.1 Subsection 1, system economics and performance metrics</t>
  </si>
  <si>
    <t xml:space="preserve">  Current Carcass yield, %</t>
  </si>
  <si>
    <t xml:space="preserve">  Current NDF, %</t>
  </si>
  <si>
    <t xml:space="preserve">  Diff. user inputs vs calculated, %</t>
  </si>
  <si>
    <t xml:space="preserve">  Model predicted NDF</t>
  </si>
  <si>
    <t xml:space="preserve">  Predicted Carcass yield, %</t>
  </si>
  <si>
    <t xml:space="preserve">  Adjusted Predicted Carcass yield, %</t>
  </si>
  <si>
    <t xml:space="preserve">  F/G</t>
  </si>
  <si>
    <t>Change, %</t>
  </si>
  <si>
    <t>Section 1. Energy levels</t>
  </si>
  <si>
    <t xml:space="preserve">  Carcass yield, %</t>
  </si>
  <si>
    <t>Metrics</t>
  </si>
  <si>
    <t>Fixed Weight</t>
  </si>
  <si>
    <t>Fixed Time</t>
  </si>
  <si>
    <t xml:space="preserve">Are your diets adequate on SID Lys? </t>
  </si>
  <si>
    <t>4. Economic Evaluation</t>
  </si>
  <si>
    <t xml:space="preserve">Live </t>
  </si>
  <si>
    <t>Carcass</t>
  </si>
  <si>
    <t>5. Economic Evaluation</t>
  </si>
  <si>
    <t>Current carcass yield, %</t>
  </si>
  <si>
    <t>Economic evaluation criteria (Live or Carcass)</t>
  </si>
  <si>
    <t>Output</t>
  </si>
  <si>
    <r>
      <t>Facility cost,</t>
    </r>
    <r>
      <rPr>
        <b/>
        <vertAlign val="superscript"/>
        <sz val="14"/>
        <color theme="1"/>
        <rFont val="Arial Narrow"/>
        <family val="2"/>
      </rPr>
      <t xml:space="preserve"> </t>
    </r>
    <r>
      <rPr>
        <b/>
        <sz val="14"/>
        <color theme="1"/>
        <rFont val="Arial Narrow"/>
        <family val="2"/>
      </rPr>
      <t>$/pig/d</t>
    </r>
  </si>
  <si>
    <t>Section 2. Weight by phase and current dietary energy levels</t>
  </si>
  <si>
    <t>Section 3. Dietary specifications</t>
  </si>
  <si>
    <t xml:space="preserve"> User reported Carcass yield, %</t>
  </si>
  <si>
    <t xml:space="preserve">Section 2. Overall Performance </t>
  </si>
  <si>
    <t xml:space="preserve">Section 3. Feed budget and Economics </t>
  </si>
  <si>
    <t>Ph 1</t>
  </si>
  <si>
    <t>Ph 2</t>
  </si>
  <si>
    <t>Ph 3</t>
  </si>
  <si>
    <t>Ph 4</t>
  </si>
  <si>
    <t>Ph 5</t>
  </si>
  <si>
    <t>Ph 6</t>
  </si>
  <si>
    <t>Summary of Calculations with current Energy Levels</t>
  </si>
  <si>
    <t xml:space="preserve">Constraints set up </t>
  </si>
  <si>
    <t>Energy levels</t>
  </si>
  <si>
    <t xml:space="preserve">  Feed and facility cost, $/pig</t>
  </si>
  <si>
    <t xml:space="preserve">The prediction equations utilized to calculate ADG in this tool are based on the regression equations reported by Nitikanchana et al. J. Anim. Sci. 2015: 2826-2839. </t>
  </si>
  <si>
    <t xml:space="preserve">  Total IOFFC Live, $/pig</t>
  </si>
  <si>
    <t xml:space="preserve">  Total IOFFC Carcass, $/pig</t>
  </si>
  <si>
    <t xml:space="preserve">  Gross Income, $/pig</t>
  </si>
  <si>
    <t xml:space="preserve">  IOTC Live, $/pig</t>
  </si>
  <si>
    <t xml:space="preserve">  IOTC Carcass, $/pig</t>
  </si>
  <si>
    <t>Recommended</t>
  </si>
  <si>
    <r>
      <t>Other cost</t>
    </r>
    <r>
      <rPr>
        <b/>
        <vertAlign val="superscript"/>
        <sz val="14"/>
        <color theme="1"/>
        <rFont val="Arial Narrow"/>
        <family val="2"/>
      </rPr>
      <t>1</t>
    </r>
    <r>
      <rPr>
        <b/>
        <sz val="14"/>
        <color theme="1"/>
        <rFont val="Arial Narrow"/>
        <family val="2"/>
      </rPr>
      <t>,</t>
    </r>
    <r>
      <rPr>
        <b/>
        <vertAlign val="superscript"/>
        <sz val="14"/>
        <color theme="1"/>
        <rFont val="Arial Narrow"/>
        <family val="2"/>
      </rPr>
      <t xml:space="preserve"> </t>
    </r>
    <r>
      <rPr>
        <b/>
        <sz val="14"/>
        <color theme="1"/>
        <rFont val="Arial Narrow"/>
        <family val="2"/>
      </rPr>
      <t>$/pig</t>
    </r>
  </si>
  <si>
    <t>Space Short</t>
  </si>
  <si>
    <t>Space Long</t>
  </si>
  <si>
    <r>
      <rPr>
        <vertAlign val="superscript"/>
        <sz val="11"/>
        <color theme="1"/>
        <rFont val="Arial Narrow"/>
        <family val="2"/>
      </rPr>
      <t>1</t>
    </r>
    <r>
      <rPr>
        <sz val="11"/>
        <color theme="1"/>
        <rFont val="Arial Narrow"/>
        <family val="2"/>
      </rPr>
      <t xml:space="preserve"> Veterinary supplies, field service personnel, trucking, etc.</t>
    </r>
  </si>
  <si>
    <t xml:space="preserve"> Prediction Equations for NDF, %</t>
  </si>
  <si>
    <t>Equation Statistics NDF, %</t>
  </si>
  <si>
    <t xml:space="preserve">  Calculated ADG with PIC 337 Growth Curve</t>
  </si>
  <si>
    <t xml:space="preserve">  Current Diet Cost, $/Ton</t>
  </si>
  <si>
    <t xml:space="preserve">  1. Starting weight</t>
  </si>
  <si>
    <t xml:space="preserve">  2. Final weight</t>
  </si>
  <si>
    <t xml:space="preserve">  3. Optimized NE, Kcal/lb</t>
  </si>
  <si>
    <t xml:space="preserve">  4. Calculated Diet Cost, $/Ton</t>
  </si>
  <si>
    <t xml:space="preserve">  5. Calculated NDF, %</t>
  </si>
  <si>
    <t xml:space="preserve">  6. Predicted ADG, g (with optimized NE)</t>
  </si>
  <si>
    <t xml:space="preserve">  7. Predicted ADG (g) with user NE inputs)</t>
  </si>
  <si>
    <t xml:space="preserve">  8. Average Starting Wt &amp; End Wt</t>
  </si>
  <si>
    <t xml:space="preserve">  9. Calculated ADG with PIC 337 Growth Curve</t>
  </si>
  <si>
    <t xml:space="preserve"> 10. Diff. ADG with users inputs and calculated with PIC 337 growth curve (7-9) </t>
  </si>
  <si>
    <t xml:space="preserve">  12. Calculated G:F with PIC 337 Growth Curve</t>
  </si>
  <si>
    <t xml:space="preserve">  13. Calculated G:F (Optimized NE: User NE)</t>
  </si>
  <si>
    <t xml:space="preserve"> 11. Adjusted predicted ADG, g (6+10)</t>
  </si>
  <si>
    <t xml:space="preserve">  Current NE, Kcal/lb</t>
  </si>
  <si>
    <t xml:space="preserve">  13. Calculated G:F, Optimized NE (3): User NE (12)</t>
  </si>
  <si>
    <t>Data Validation</t>
  </si>
  <si>
    <t>-----</t>
  </si>
  <si>
    <t>----</t>
  </si>
  <si>
    <t>Match</t>
  </si>
  <si>
    <t>ABSDIFF</t>
  </si>
  <si>
    <t>Adj. ADFI</t>
  </si>
  <si>
    <t>Average Daily Gain</t>
  </si>
  <si>
    <t>Feed efficiency</t>
  </si>
  <si>
    <t>lb</t>
  </si>
  <si>
    <t>G:F</t>
  </si>
  <si>
    <t>F:G</t>
  </si>
  <si>
    <t>g</t>
  </si>
  <si>
    <t>Growth curve overall (PIC 337)</t>
  </si>
  <si>
    <t xml:space="preserve"> User overall growth performance</t>
  </si>
  <si>
    <t xml:space="preserve"> Calculated user overall growth performance</t>
  </si>
  <si>
    <t>4 Phase program</t>
  </si>
  <si>
    <t>5 Phase program</t>
  </si>
  <si>
    <t>6 Phase program</t>
  </si>
  <si>
    <t xml:space="preserve"> Calculated user current growth performance</t>
  </si>
  <si>
    <t>Diff</t>
  </si>
  <si>
    <t>ADG, %</t>
  </si>
  <si>
    <t>F/G, %</t>
  </si>
  <si>
    <t>User/PIC ratio</t>
  </si>
  <si>
    <t>Variation</t>
  </si>
  <si>
    <t>Growth curve (enter own values or use default)</t>
  </si>
  <si>
    <t>Growth Curve</t>
  </si>
  <si>
    <t xml:space="preserve">Default </t>
  </si>
  <si>
    <t>Own values</t>
  </si>
  <si>
    <t xml:space="preserve">  Calculated G:F with PIC 337 or users growth curve </t>
  </si>
  <si>
    <t xml:space="preserve">  IOFC, $/pig</t>
  </si>
  <si>
    <t xml:space="preserve">  IOFFC Carcass, $/pig</t>
  </si>
  <si>
    <t xml:space="preserve">  IOFFC Live, $/pig</t>
  </si>
  <si>
    <t>Marketing basis (Fixed weight or fixed time)</t>
  </si>
  <si>
    <r>
      <t>Recommended</t>
    </r>
    <r>
      <rPr>
        <b/>
        <vertAlign val="superscript"/>
        <sz val="14"/>
        <color theme="1"/>
        <rFont val="Arial Narrow"/>
        <family val="2"/>
      </rPr>
      <t>1</t>
    </r>
  </si>
  <si>
    <t>Economic model for optimum energy level V2.0 - Validation sheet</t>
  </si>
  <si>
    <t xml:space="preserve">  IOTC Live by phase, $/pig</t>
  </si>
  <si>
    <t xml:space="preserve">  IOTC Carcass by phase, $/pig</t>
  </si>
  <si>
    <t xml:space="preserve">  14. Predicted ADFI, g/d</t>
  </si>
  <si>
    <t xml:space="preserve">  15. Phase duration, d</t>
  </si>
  <si>
    <t xml:space="preserve">  16. Total feed cost per phase, $/pig</t>
  </si>
  <si>
    <t xml:space="preserve">  20. Feed and facility cost, $/pig</t>
  </si>
  <si>
    <t xml:space="preserve">  21. Income per pig, $/pig</t>
  </si>
  <si>
    <t xml:space="preserve">  22. IOFC by phase, $/pig</t>
  </si>
  <si>
    <t xml:space="preserve">  23. IOFFC by phase, $/pig</t>
  </si>
  <si>
    <t xml:space="preserve">  24. Current Carcass yield, %</t>
  </si>
  <si>
    <t xml:space="preserve">  25. Current NDF, %</t>
  </si>
  <si>
    <t xml:space="preserve">  26. Predicted Carcass yield (user inputs)</t>
  </si>
  <si>
    <t xml:space="preserve">  27. Diff. user inputs vs calculated, %</t>
  </si>
  <si>
    <t xml:space="preserve">  29. Predicted Carcass yield, %</t>
  </si>
  <si>
    <t xml:space="preserve">  30. Adjusted Predicted Carcass yield, %</t>
  </si>
  <si>
    <t xml:space="preserve">  28. Model NDF with optimized NE</t>
  </si>
  <si>
    <t xml:space="preserve">Item </t>
  </si>
  <si>
    <t xml:space="preserve">Current </t>
  </si>
  <si>
    <t>Pred ADG</t>
  </si>
  <si>
    <t>Current ADG</t>
  </si>
  <si>
    <t xml:space="preserve">Diff. </t>
  </si>
  <si>
    <t>Adjusted</t>
  </si>
  <si>
    <t>---</t>
  </si>
  <si>
    <t>Current F/G</t>
  </si>
  <si>
    <t>Pred F/G</t>
  </si>
  <si>
    <t xml:space="preserve">  Diff., $/pig</t>
  </si>
  <si>
    <t>Ph</t>
  </si>
  <si>
    <t xml:space="preserve">1.2 Subsection 1, select economic evaluation criteria (live or carcass) and marketing basis (fixed weight or fixed time) </t>
  </si>
  <si>
    <t>1.3 Subsection 1, select the option of using default or your own growth curve values</t>
  </si>
  <si>
    <t>1.5 Subsection 2, complete only the yellow cells with the BW ranges by dietary phase</t>
  </si>
  <si>
    <t>1.6 Subsection 2, fill the cells with the current, minimum, and maximum dietary net energy level by phase</t>
  </si>
  <si>
    <t xml:space="preserve">1.7 In subsection 3, select (Yes or No) if your diets are adequate on Lys </t>
  </si>
  <si>
    <t>1.8 If you selected "No" for the previous questions, please input the levels of Lys used</t>
  </si>
  <si>
    <t>1.9 In section 3, fill the cells with the remaining dietary information required (Cost/Ton, NDF)</t>
  </si>
  <si>
    <r>
      <t>Note:</t>
    </r>
    <r>
      <rPr>
        <sz val="14"/>
        <color rgb="FF000000"/>
        <rFont val="Arial Narrow"/>
        <family val="2"/>
      </rPr>
      <t xml:space="preserve"> For Excel 2007, click the </t>
    </r>
    <r>
      <rPr>
        <b/>
        <sz val="14"/>
        <color rgb="FF000000"/>
        <rFont val="Arial Narrow"/>
        <family val="2"/>
      </rPr>
      <t>Microsoft Office Button</t>
    </r>
    <r>
      <rPr>
        <sz val="14"/>
        <color rgb="FF000000"/>
        <rFont val="Arial Narrow"/>
        <family val="2"/>
      </rPr>
      <t xml:space="preserve"> </t>
    </r>
  </si>
  <si>
    <r>
      <t>Notes:</t>
    </r>
    <r>
      <rPr>
        <sz val="14"/>
        <color rgb="FF000000"/>
        <rFont val="Arial Narrow"/>
        <family val="2"/>
      </rPr>
      <t> </t>
    </r>
  </si>
  <si>
    <t xml:space="preserve">Installing solver </t>
  </si>
  <si>
    <r>
      <t xml:space="preserve">If the </t>
    </r>
    <r>
      <rPr>
        <b/>
        <sz val="14"/>
        <color rgb="FF000000"/>
        <rFont val="Arial Narrow"/>
        <family val="2"/>
      </rPr>
      <t>Solver Add-in</t>
    </r>
    <r>
      <rPr>
        <sz val="14"/>
        <color rgb="FF000000"/>
        <rFont val="Arial Narrow"/>
        <family val="2"/>
      </rPr>
      <t xml:space="preserve"> is not listed in the </t>
    </r>
    <r>
      <rPr>
        <b/>
        <sz val="14"/>
        <color rgb="FF000000"/>
        <rFont val="Arial Narrow"/>
        <family val="2"/>
      </rPr>
      <t>Add-Ins available</t>
    </r>
    <r>
      <rPr>
        <sz val="14"/>
        <color rgb="FF000000"/>
        <rFont val="Arial Narrow"/>
        <family val="2"/>
      </rPr>
      <t xml:space="preserve"> box, click </t>
    </r>
    <r>
      <rPr>
        <b/>
        <sz val="14"/>
        <color rgb="FF000000"/>
        <rFont val="Arial Narrow"/>
        <family val="2"/>
      </rPr>
      <t>Browse</t>
    </r>
    <r>
      <rPr>
        <sz val="14"/>
        <color rgb="FF000000"/>
        <rFont val="Arial Narrow"/>
        <family val="2"/>
      </rPr>
      <t xml:space="preserve"> to locate the add-in.</t>
    </r>
  </si>
  <si>
    <t>If you get prompted that the Solver Add-in is not currently installed on your computer, click Yes to install it.</t>
  </si>
  <si>
    <r>
      <t xml:space="preserve">1. In Excel 2010 and later go to </t>
    </r>
    <r>
      <rPr>
        <b/>
        <sz val="14"/>
        <color rgb="FF000000"/>
        <rFont val="Arial Narrow"/>
        <family val="2"/>
      </rPr>
      <t>File &gt; Options</t>
    </r>
  </si>
  <si>
    <r>
      <t xml:space="preserve">2. Click </t>
    </r>
    <r>
      <rPr>
        <b/>
        <sz val="14"/>
        <color rgb="FF000000"/>
        <rFont val="Arial Narrow"/>
        <family val="2"/>
      </rPr>
      <t>Add-Ins</t>
    </r>
    <r>
      <rPr>
        <sz val="14"/>
        <color rgb="FF000000"/>
        <rFont val="Arial Narrow"/>
        <family val="2"/>
      </rPr>
      <t xml:space="preserve">, and then in the </t>
    </r>
    <r>
      <rPr>
        <b/>
        <sz val="14"/>
        <color rgb="FF000000"/>
        <rFont val="Arial Narrow"/>
        <family val="2"/>
      </rPr>
      <t>Manage</t>
    </r>
    <r>
      <rPr>
        <sz val="14"/>
        <color rgb="FF000000"/>
        <rFont val="Arial Narrow"/>
        <family val="2"/>
      </rPr>
      <t xml:space="preserve"> box, select </t>
    </r>
    <r>
      <rPr>
        <b/>
        <sz val="14"/>
        <color rgb="FF000000"/>
        <rFont val="Arial Narrow"/>
        <family val="2"/>
      </rPr>
      <t>Excel Add-ins</t>
    </r>
    <r>
      <rPr>
        <sz val="14"/>
        <color rgb="FF000000"/>
        <rFont val="Arial Narrow"/>
        <family val="2"/>
      </rPr>
      <t>.</t>
    </r>
  </si>
  <si>
    <r>
      <t xml:space="preserve">3. Click </t>
    </r>
    <r>
      <rPr>
        <b/>
        <sz val="14"/>
        <color rgb="FF000000"/>
        <rFont val="Arial Narrow"/>
        <family val="2"/>
      </rPr>
      <t>Go</t>
    </r>
    <r>
      <rPr>
        <sz val="14"/>
        <color rgb="FF000000"/>
        <rFont val="Arial Narrow"/>
        <family val="2"/>
      </rPr>
      <t>.</t>
    </r>
  </si>
  <si>
    <r>
      <t xml:space="preserve">4. In the </t>
    </r>
    <r>
      <rPr>
        <b/>
        <sz val="14"/>
        <color rgb="FF000000"/>
        <rFont val="Arial Narrow"/>
        <family val="2"/>
      </rPr>
      <t>Add-Ins available</t>
    </r>
    <r>
      <rPr>
        <sz val="14"/>
        <color rgb="FF000000"/>
        <rFont val="Arial Narrow"/>
        <family val="2"/>
      </rPr>
      <t xml:space="preserve"> box, select the </t>
    </r>
    <r>
      <rPr>
        <b/>
        <sz val="14"/>
        <color rgb="FF000000"/>
        <rFont val="Arial Narrow"/>
        <family val="2"/>
      </rPr>
      <t>Solver Add-in</t>
    </r>
    <r>
      <rPr>
        <sz val="14"/>
        <color rgb="FF000000"/>
        <rFont val="Arial Narrow"/>
        <family val="2"/>
      </rPr>
      <t xml:space="preserve"> check box, and then click </t>
    </r>
    <r>
      <rPr>
        <b/>
        <sz val="14"/>
        <color rgb="FF000000"/>
        <rFont val="Arial Narrow"/>
        <family val="2"/>
      </rPr>
      <t>OK</t>
    </r>
    <r>
      <rPr>
        <sz val="14"/>
        <color rgb="FF000000"/>
        <rFont val="Arial Narrow"/>
        <family val="2"/>
      </rPr>
      <t>.</t>
    </r>
  </si>
  <si>
    <r>
      <t xml:space="preserve">5. After you load the Solver Add-in, the </t>
    </r>
    <r>
      <rPr>
        <b/>
        <sz val="14"/>
        <color rgb="FF000000"/>
        <rFont val="Arial Narrow"/>
        <family val="2"/>
      </rPr>
      <t>Solver</t>
    </r>
    <r>
      <rPr>
        <sz val="14"/>
        <color rgb="FF000000"/>
        <rFont val="Arial Narrow"/>
        <family val="2"/>
      </rPr>
      <t xml:space="preserve"> command is available in the </t>
    </r>
    <r>
      <rPr>
        <b/>
        <sz val="14"/>
        <color rgb="FF000000"/>
        <rFont val="Arial Narrow"/>
        <family val="2"/>
      </rPr>
      <t>Analysis</t>
    </r>
    <r>
      <rPr>
        <sz val="14"/>
        <color rgb="FF000000"/>
        <rFont val="Arial Narrow"/>
        <family val="2"/>
      </rPr>
      <t xml:space="preserve"> group on the </t>
    </r>
    <r>
      <rPr>
        <b/>
        <sz val="14"/>
        <color rgb="FF000000"/>
        <rFont val="Arial Narrow"/>
        <family val="2"/>
      </rPr>
      <t>Data</t>
    </r>
    <r>
      <rPr>
        <sz val="14"/>
        <color rgb="FF000000"/>
        <rFont val="Arial Narrow"/>
        <family val="2"/>
      </rPr>
      <t xml:space="preserve"> tab.</t>
    </r>
  </si>
  <si>
    <t>2.2 If you do not have solver installed please click here for instructions</t>
  </si>
  <si>
    <t>2. Once inputs are entered, go to the fixed weight or fixed time tab (based of your  previous selection)</t>
  </si>
  <si>
    <t>2.1 Once in the sheet of your choice go to the Excel ribbon at the top of the sheet, click on data, then solver</t>
  </si>
  <si>
    <t>1.4 Subsection 2, select the number of dietary phases (4, 5, or 6)</t>
  </si>
  <si>
    <t xml:space="preserve">This tool is divided in three sections: </t>
  </si>
  <si>
    <t xml:space="preserve">  - 1) inputs (i.e. economics inputs and dietary information)</t>
  </si>
  <si>
    <t xml:space="preserve">  - 2) calculations (ADG, F/G predictions and economic outputs)</t>
  </si>
  <si>
    <t xml:space="preserve">  - 3) outputs (summary of calculations).</t>
  </si>
  <si>
    <t>1. Go to the Inputs tab and fill yellow cells with the following information:</t>
  </si>
  <si>
    <t>Inputs</t>
  </si>
  <si>
    <t>Calculations</t>
  </si>
  <si>
    <t>2.3 Prior to running solver, ensure that the "set objective" cell is at J19 (this apply for fixed time and fixed weight sheets)</t>
  </si>
  <si>
    <t>3. In the Output tab, there is a summary with all relevant information</t>
  </si>
  <si>
    <t xml:space="preserve">2.5 Then click solve. Wait for a few seconds for the algorithm to find the optimal solution </t>
  </si>
  <si>
    <t xml:space="preserve">2.6 Once the optimization is complete click OK to keep the solver results </t>
  </si>
  <si>
    <t xml:space="preserve">2.4 Ensure your file is saved before running solver </t>
  </si>
  <si>
    <t xml:space="preserve">Begin with closing other Microsoft Excel files </t>
  </si>
  <si>
    <t>Live price, $/kg</t>
  </si>
  <si>
    <t>Carcass price, $/kg</t>
  </si>
  <si>
    <t>Feeder pig cost (23 kg), $/pig</t>
  </si>
  <si>
    <t>Initial weight, kg</t>
  </si>
  <si>
    <t>Final weight, kg</t>
  </si>
  <si>
    <t>Current NE, Kcal/kg</t>
  </si>
  <si>
    <t>Range NE (Kcal/kg)</t>
  </si>
  <si>
    <t>Cost, $/tonne</t>
  </si>
  <si>
    <t>NE, Kcal/kg</t>
  </si>
  <si>
    <t>ADG, kg</t>
  </si>
  <si>
    <t>Net energy, Kcal/kg</t>
  </si>
  <si>
    <t xml:space="preserve">  ADFI, kg</t>
  </si>
  <si>
    <t xml:space="preserve">  ADG, kg</t>
  </si>
  <si>
    <t>Current ADG, kg</t>
  </si>
  <si>
    <t xml:space="preserve">  Total feed, kg/pig</t>
  </si>
  <si>
    <t xml:space="preserve">  User current ADG, kg</t>
  </si>
  <si>
    <t xml:space="preserve">  Predicted ADFI, kg</t>
  </si>
  <si>
    <t xml:space="preserve">  Predicted ADG, kg</t>
  </si>
  <si>
    <t xml:space="preserve">  1. Starting weight, kg</t>
  </si>
  <si>
    <t xml:space="preserve">  2. Final weight, kg</t>
  </si>
  <si>
    <t xml:space="preserve">  3. Optimized NE, Kcal/kg</t>
  </si>
  <si>
    <t xml:space="preserve">  17. Gain, kg</t>
  </si>
  <si>
    <t xml:space="preserve">  19. Total phase intake, kg/pig</t>
  </si>
  <si>
    <t xml:space="preserve">  4. Calculated Diet Cost, $/tonne</t>
  </si>
  <si>
    <t xml:space="preserve">  Gain, kg</t>
  </si>
  <si>
    <t xml:space="preserve">  18. Feed cost per/kg of gain, $/pig</t>
  </si>
  <si>
    <t xml:space="preserve">  Feed cost per/kg of gain, $/pig</t>
  </si>
  <si>
    <t xml:space="preserve">  Total phase intake, kg/pig</t>
  </si>
  <si>
    <t xml:space="preserve">  Starting weight, kg</t>
  </si>
  <si>
    <t xml:space="preserve">  Final weight, kg</t>
  </si>
  <si>
    <t xml:space="preserve">  Current NE, Kcal/kg</t>
  </si>
  <si>
    <t xml:space="preserve">  8. Average Starting Wt &amp; End Wt, kg</t>
  </si>
  <si>
    <t xml:space="preserve">  8. Average Starting Wt &amp; End Wt,kg</t>
  </si>
  <si>
    <t xml:space="preserve">  Average Starting Wt &amp; End Wt, kg</t>
  </si>
  <si>
    <t>Economic model for optimum energy level V2.6</t>
  </si>
  <si>
    <t>Economic model for optimum energy level V2.6 - Model Inputs</t>
  </si>
  <si>
    <t>Economic model for optimum energy level V2.6 - Model Calculations by phase</t>
  </si>
  <si>
    <t>Economic model for optimum energy level V2.6 - Summary of Outputs</t>
  </si>
  <si>
    <r>
      <rPr>
        <vertAlign val="superscript"/>
        <sz val="14"/>
        <rFont val="Arial Narrow"/>
        <family val="2"/>
      </rPr>
      <t>1</t>
    </r>
    <r>
      <rPr>
        <sz val="14"/>
        <rFont val="Arial Narrow"/>
        <family val="2"/>
      </rPr>
      <t>If cell turns yellow or green recommended NE level is equal to the Min or Max, respectively.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</si>
</sst>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0.0"/>
    <numFmt numFmtId="165" formatCode="0.000"/>
    <numFmt numFmtId="166" formatCode="0.0000000000"/>
    <numFmt numFmtId="167" formatCode="#,##0.000"/>
    <numFmt numFmtId="168" formatCode="0.00000000"/>
    <numFmt numFmtId="169" formatCode="0.000000"/>
    <numFmt numFmtId="170" formatCode="0.00000"/>
    <numFmt numFmtId="171" formatCode="0.0_);\(0.0\)"/>
    <numFmt numFmtId="172" formatCode="0.0000"/>
    <numFmt numFmtId="173" formatCode="0.0000000"/>
    <numFmt numFmtId="174" formatCode="#,##0.0"/>
    <numFmt numFmtId="175" formatCode="0.00_);\(0.00\)"/>
  </numFmts>
  <fonts count="41" x14ac:knownFonts="1">
    <font>
      <sz val="11"/>
      <color theme="1"/>
      <name val="Calibri"/>
      <family val="2"/>
      <scheme val="minor"/>
    </font>
    <font>
      <b/>
      <sz val="14"/>
      <color theme="1"/>
      <name val="Arial Narrow"/>
      <family val="2"/>
    </font>
    <font>
      <b/>
      <sz val="12"/>
      <color theme="1"/>
      <name val="Arial Narrow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Arial Narrow"/>
      <family val="2"/>
    </font>
    <font>
      <sz val="14"/>
      <color theme="1"/>
      <name val="Arial Narrow"/>
      <family val="2"/>
    </font>
    <font>
      <sz val="12"/>
      <color rgb="FFFF0000"/>
      <name val="Arial Narrow"/>
      <family val="2"/>
    </font>
    <font>
      <sz val="14"/>
      <color rgb="FFFF0000"/>
      <name val="Arial Narrow"/>
      <family val="2"/>
    </font>
    <font>
      <b/>
      <sz val="13"/>
      <color theme="1"/>
      <name val="Arial Narrow"/>
      <family val="2"/>
    </font>
    <font>
      <sz val="13"/>
      <color theme="1"/>
      <name val="Arial Narrow"/>
      <family val="2"/>
    </font>
    <font>
      <sz val="13"/>
      <color theme="1"/>
      <name val="Calibri"/>
      <family val="2"/>
      <scheme val="minor"/>
    </font>
    <font>
      <sz val="10"/>
      <name val="Arial"/>
      <family val="2"/>
    </font>
    <font>
      <sz val="14"/>
      <name val="Arial Narrow"/>
      <family val="2"/>
    </font>
    <font>
      <sz val="12"/>
      <color theme="1"/>
      <name val="Arial Narrow"/>
      <family val="2"/>
    </font>
    <font>
      <u/>
      <sz val="14"/>
      <color theme="10"/>
      <name val="Arial Narrow"/>
      <family val="2"/>
    </font>
    <font>
      <b/>
      <vertAlign val="superscript"/>
      <sz val="14"/>
      <color theme="1"/>
      <name val="Arial Narrow"/>
      <family val="2"/>
    </font>
    <font>
      <sz val="13"/>
      <color theme="0"/>
      <name val="Arial Narrow"/>
      <family val="2"/>
    </font>
    <font>
      <sz val="14"/>
      <color theme="1"/>
      <name val="Calibri"/>
      <family val="2"/>
      <scheme val="minor"/>
    </font>
    <font>
      <b/>
      <sz val="18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theme="0"/>
      <name val="Calibri"/>
      <family val="2"/>
      <scheme val="minor"/>
    </font>
    <font>
      <b/>
      <sz val="13"/>
      <color theme="0"/>
      <name val="Arial Narrow"/>
      <family val="2"/>
    </font>
    <font>
      <sz val="14"/>
      <color theme="0"/>
      <name val="Arial Narrow"/>
      <family val="2"/>
    </font>
    <font>
      <b/>
      <sz val="14"/>
      <color theme="0"/>
      <name val="Arial Narrow"/>
      <family val="2"/>
    </font>
    <font>
      <b/>
      <sz val="9"/>
      <color indexed="81"/>
      <name val="Tahoma"/>
      <family val="2"/>
    </font>
    <font>
      <sz val="14"/>
      <color theme="0"/>
      <name val="Calibri"/>
      <family val="2"/>
      <scheme val="minor"/>
    </font>
    <font>
      <b/>
      <sz val="14"/>
      <name val="Arial Narrow"/>
      <family val="2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Arial Narrow"/>
      <family val="2"/>
    </font>
    <font>
      <sz val="13"/>
      <color theme="0"/>
      <name val="Calibri"/>
      <family val="2"/>
      <scheme val="minor"/>
    </font>
    <font>
      <sz val="13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sz val="11"/>
      <color theme="0"/>
      <name val="Arial Narrow"/>
      <family val="2"/>
    </font>
    <font>
      <sz val="14"/>
      <color rgb="FF000000"/>
      <name val="Arial Narrow"/>
      <family val="2"/>
    </font>
    <font>
      <b/>
      <sz val="14"/>
      <color rgb="FF000000"/>
      <name val="Arial Narrow"/>
      <family val="2"/>
    </font>
    <font>
      <vertAlign val="superscript"/>
      <sz val="14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 tint="-0.14999847407452621"/>
        <bgColor theme="0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11" fillId="0" borderId="0"/>
  </cellStyleXfs>
  <cellXfs count="465">
    <xf numFmtId="0" fontId="0" fillId="0" borderId="0" xfId="0"/>
    <xf numFmtId="0" fontId="2" fillId="0" borderId="0" xfId="0" applyFont="1" applyAlignment="1">
      <alignment horizontal="center" vertical="top"/>
    </xf>
    <xf numFmtId="0" fontId="6" fillId="0" borderId="0" xfId="0" applyFont="1" applyAlignment="1">
      <alignment horizontal="left" vertical="center"/>
    </xf>
    <xf numFmtId="0" fontId="10" fillId="0" borderId="0" xfId="0" applyFont="1"/>
    <xf numFmtId="0" fontId="8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3" fillId="0" borderId="0" xfId="0" applyFont="1"/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164" fontId="9" fillId="0" borderId="0" xfId="0" applyNumberFormat="1" applyFont="1" applyAlignment="1">
      <alignment horizontal="center" vertical="center"/>
    </xf>
    <xf numFmtId="2" fontId="9" fillId="0" borderId="0" xfId="0" applyNumberFormat="1" applyFont="1" applyFill="1" applyBorder="1" applyAlignment="1">
      <alignment horizontal="center" vertical="center"/>
    </xf>
    <xf numFmtId="167" fontId="0" fillId="0" borderId="0" xfId="0" applyNumberFormat="1"/>
    <xf numFmtId="164" fontId="16" fillId="3" borderId="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7" fillId="0" borderId="0" xfId="0" applyFont="1"/>
    <xf numFmtId="0" fontId="9" fillId="0" borderId="0" xfId="0" applyFont="1"/>
    <xf numFmtId="164" fontId="12" fillId="2" borderId="8" xfId="2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3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 vertical="center"/>
    </xf>
    <xf numFmtId="164" fontId="9" fillId="0" borderId="0" xfId="0" applyNumberFormat="1" applyFont="1" applyAlignment="1">
      <alignment horizontal="center"/>
    </xf>
    <xf numFmtId="0" fontId="8" fillId="0" borderId="7" xfId="0" applyFont="1" applyBorder="1" applyAlignment="1"/>
    <xf numFmtId="0" fontId="8" fillId="0" borderId="7" xfId="0" applyFont="1" applyBorder="1" applyAlignment="1">
      <alignment horizontal="center"/>
    </xf>
    <xf numFmtId="168" fontId="9" fillId="0" borderId="0" xfId="0" applyNumberFormat="1" applyFont="1"/>
    <xf numFmtId="168" fontId="8" fillId="0" borderId="0" xfId="0" applyNumberFormat="1" applyFont="1" applyAlignment="1">
      <alignment horizontal="center"/>
    </xf>
    <xf numFmtId="169" fontId="9" fillId="0" borderId="0" xfId="0" applyNumberFormat="1" applyFont="1" applyAlignment="1">
      <alignment horizontal="center"/>
    </xf>
    <xf numFmtId="3" fontId="9" fillId="0" borderId="6" xfId="0" applyNumberFormat="1" applyFont="1" applyBorder="1" applyAlignment="1">
      <alignment horizontal="center"/>
    </xf>
    <xf numFmtId="164" fontId="9" fillId="0" borderId="6" xfId="0" applyNumberFormat="1" applyFont="1" applyBorder="1" applyAlignment="1">
      <alignment horizontal="center"/>
    </xf>
    <xf numFmtId="3" fontId="9" fillId="0" borderId="0" xfId="0" applyNumberFormat="1" applyFont="1" applyBorder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3" fontId="9" fillId="0" borderId="3" xfId="0" applyNumberFormat="1" applyFont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166" fontId="9" fillId="0" borderId="0" xfId="0" applyNumberFormat="1" applyFont="1" applyAlignment="1">
      <alignment horizontal="center"/>
    </xf>
    <xf numFmtId="0" fontId="9" fillId="0" borderId="6" xfId="0" applyFont="1" applyBorder="1" applyAlignment="1">
      <alignment horizontal="center"/>
    </xf>
    <xf numFmtId="166" fontId="9" fillId="0" borderId="6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166" fontId="9" fillId="0" borderId="0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66" fontId="9" fillId="0" borderId="3" xfId="0" applyNumberFormat="1" applyFont="1" applyBorder="1" applyAlignment="1">
      <alignment horizontal="center"/>
    </xf>
    <xf numFmtId="0" fontId="9" fillId="0" borderId="0" xfId="0" applyFont="1" applyBorder="1"/>
    <xf numFmtId="0" fontId="9" fillId="0" borderId="0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166" fontId="9" fillId="0" borderId="6" xfId="0" applyNumberFormat="1" applyFont="1" applyBorder="1" applyAlignment="1">
      <alignment horizontal="center" vertical="center"/>
    </xf>
    <xf numFmtId="166" fontId="9" fillId="0" borderId="0" xfId="0" applyNumberFormat="1" applyFont="1" applyBorder="1" applyAlignment="1">
      <alignment horizontal="center" vertical="center"/>
    </xf>
    <xf numFmtId="166" fontId="9" fillId="0" borderId="3" xfId="0" applyNumberFormat="1" applyFont="1" applyBorder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9" fillId="0" borderId="0" xfId="0" applyFont="1"/>
    <xf numFmtId="0" fontId="19" fillId="0" borderId="0" xfId="0" applyFont="1" applyAlignment="1">
      <alignment horizontal="center"/>
    </xf>
    <xf numFmtId="164" fontId="19" fillId="0" borderId="0" xfId="0" applyNumberFormat="1" applyFont="1" applyAlignment="1">
      <alignment horizontal="center"/>
    </xf>
    <xf numFmtId="2" fontId="19" fillId="0" borderId="0" xfId="0" applyNumberFormat="1" applyFont="1" applyAlignment="1">
      <alignment horizontal="center"/>
    </xf>
    <xf numFmtId="164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165" fontId="19" fillId="0" borderId="0" xfId="0" applyNumberFormat="1" applyFont="1" applyAlignment="1">
      <alignment horizontal="center"/>
    </xf>
    <xf numFmtId="0" fontId="20" fillId="0" borderId="0" xfId="0" applyFont="1" applyAlignment="1">
      <alignment horizontal="left"/>
    </xf>
    <xf numFmtId="1" fontId="19" fillId="0" borderId="0" xfId="0" applyNumberFormat="1" applyFont="1" applyAlignment="1">
      <alignment horizontal="center"/>
    </xf>
    <xf numFmtId="0" fontId="8" fillId="0" borderId="0" xfId="0" applyFont="1" applyBorder="1" applyAlignment="1">
      <alignment horizontal="center"/>
    </xf>
    <xf numFmtId="1" fontId="19" fillId="0" borderId="0" xfId="0" applyNumberFormat="1" applyFont="1"/>
    <xf numFmtId="165" fontId="19" fillId="0" borderId="0" xfId="0" applyNumberFormat="1" applyFont="1"/>
    <xf numFmtId="0" fontId="21" fillId="0" borderId="0" xfId="0" applyFont="1"/>
    <xf numFmtId="2" fontId="9" fillId="0" borderId="6" xfId="0" applyNumberFormat="1" applyFont="1" applyBorder="1" applyAlignment="1">
      <alignment horizontal="center"/>
    </xf>
    <xf numFmtId="2" fontId="9" fillId="0" borderId="0" xfId="0" applyNumberFormat="1" applyFont="1" applyBorder="1" applyAlignment="1">
      <alignment horizontal="center"/>
    </xf>
    <xf numFmtId="2" fontId="9" fillId="0" borderId="3" xfId="0" applyNumberFormat="1" applyFont="1" applyBorder="1" applyAlignment="1">
      <alignment horizontal="center"/>
    </xf>
    <xf numFmtId="2" fontId="0" fillId="0" borderId="0" xfId="0" applyNumberFormat="1"/>
    <xf numFmtId="0" fontId="8" fillId="0" borderId="6" xfId="0" applyFont="1" applyBorder="1" applyAlignment="1">
      <alignment horizontal="center"/>
    </xf>
    <xf numFmtId="0" fontId="9" fillId="0" borderId="0" xfId="0" applyFont="1" applyFill="1" applyAlignment="1">
      <alignment horizontal="left" vertical="center"/>
    </xf>
    <xf numFmtId="0" fontId="8" fillId="0" borderId="7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23" fillId="3" borderId="0" xfId="0" applyFont="1" applyFill="1" applyBorder="1" applyAlignment="1">
      <alignment horizontal="center"/>
    </xf>
    <xf numFmtId="164" fontId="23" fillId="3" borderId="0" xfId="2" applyNumberFormat="1" applyFont="1" applyFill="1" applyBorder="1" applyAlignment="1">
      <alignment horizontal="center"/>
    </xf>
    <xf numFmtId="3" fontId="23" fillId="3" borderId="0" xfId="2" applyNumberFormat="1" applyFont="1" applyFill="1" applyBorder="1" applyAlignment="1" applyProtection="1">
      <alignment horizontal="center"/>
      <protection locked="0"/>
    </xf>
    <xf numFmtId="1" fontId="16" fillId="0" borderId="0" xfId="0" applyNumberFormat="1" applyFont="1" applyFill="1" applyBorder="1" applyAlignment="1">
      <alignment horizontal="center" vertical="center"/>
    </xf>
    <xf numFmtId="2" fontId="16" fillId="0" borderId="0" xfId="0" applyNumberFormat="1" applyFont="1" applyFill="1" applyBorder="1" applyAlignment="1">
      <alignment horizontal="center" vertical="center"/>
    </xf>
    <xf numFmtId="0" fontId="8" fillId="0" borderId="0" xfId="0" applyFont="1" applyBorder="1" applyAlignment="1"/>
    <xf numFmtId="0" fontId="1" fillId="0" borderId="0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22" fillId="0" borderId="8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170" fontId="9" fillId="0" borderId="0" xfId="0" applyNumberFormat="1" applyFont="1"/>
    <xf numFmtId="170" fontId="8" fillId="0" borderId="0" xfId="0" applyNumberFormat="1" applyFont="1" applyBorder="1" applyAlignment="1">
      <alignment horizontal="center"/>
    </xf>
    <xf numFmtId="170" fontId="8" fillId="0" borderId="0" xfId="0" applyNumberFormat="1" applyFont="1" applyAlignment="1">
      <alignment horizontal="center"/>
    </xf>
    <xf numFmtId="170" fontId="9" fillId="0" borderId="0" xfId="0" applyNumberFormat="1" applyFont="1" applyAlignment="1">
      <alignment horizontal="center"/>
    </xf>
    <xf numFmtId="164" fontId="16" fillId="0" borderId="0" xfId="0" applyNumberFormat="1" applyFont="1" applyFill="1" applyBorder="1" applyAlignment="1">
      <alignment horizontal="center" vertical="center"/>
    </xf>
    <xf numFmtId="0" fontId="0" fillId="0" borderId="0" xfId="0" applyFont="1"/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0" applyNumberFormat="1" applyFont="1" applyFill="1" applyBorder="1" applyAlignment="1">
      <alignment horizontal="center" vertical="center"/>
    </xf>
    <xf numFmtId="1" fontId="9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8" fillId="2" borderId="13" xfId="0" applyFont="1" applyFill="1" applyBorder="1" applyAlignment="1">
      <alignment horizontal="center"/>
    </xf>
    <xf numFmtId="0" fontId="22" fillId="0" borderId="13" xfId="0" applyFont="1" applyFill="1" applyBorder="1" applyAlignment="1">
      <alignment horizontal="center"/>
    </xf>
    <xf numFmtId="0" fontId="5" fillId="0" borderId="0" xfId="0" applyFont="1" applyAlignment="1">
      <alignment horizontal="left"/>
    </xf>
    <xf numFmtId="3" fontId="5" fillId="4" borderId="8" xfId="0" applyNumberFormat="1" applyFont="1" applyFill="1" applyBorder="1" applyAlignment="1" applyProtection="1">
      <alignment horizontal="center"/>
      <protection hidden="1"/>
    </xf>
    <xf numFmtId="3" fontId="23" fillId="0" borderId="0" xfId="0" applyNumberFormat="1" applyFont="1" applyFill="1" applyBorder="1" applyAlignment="1" applyProtection="1">
      <alignment horizontal="center"/>
      <protection hidden="1"/>
    </xf>
    <xf numFmtId="0" fontId="5" fillId="0" borderId="0" xfId="0" applyFont="1" applyFill="1" applyAlignment="1">
      <alignment horizontal="left" vertical="center"/>
    </xf>
    <xf numFmtId="164" fontId="5" fillId="0" borderId="0" xfId="0" applyNumberFormat="1" applyFont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164" fontId="23" fillId="0" borderId="0" xfId="0" applyNumberFormat="1" applyFont="1" applyAlignment="1">
      <alignment horizontal="center" vertical="center"/>
    </xf>
    <xf numFmtId="3" fontId="1" fillId="0" borderId="0" xfId="0" applyNumberFormat="1" applyFont="1" applyFill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165" fontId="12" fillId="0" borderId="0" xfId="0" applyNumberFormat="1" applyFont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  <xf numFmtId="0" fontId="5" fillId="0" borderId="0" xfId="0" applyFont="1"/>
    <xf numFmtId="2" fontId="12" fillId="0" borderId="0" xfId="0" applyNumberFormat="1" applyFont="1" applyBorder="1" applyAlignment="1">
      <alignment horizontal="center" vertical="center"/>
    </xf>
    <xf numFmtId="2" fontId="5" fillId="0" borderId="0" xfId="0" applyNumberFormat="1" applyFont="1" applyBorder="1" applyAlignment="1">
      <alignment horizontal="center" vertical="center"/>
    </xf>
    <xf numFmtId="165" fontId="5" fillId="0" borderId="0" xfId="0" applyNumberFormat="1" applyFont="1" applyBorder="1" applyAlignment="1">
      <alignment horizontal="center" vertical="center"/>
    </xf>
    <xf numFmtId="2" fontId="5" fillId="0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left"/>
    </xf>
    <xf numFmtId="2" fontId="5" fillId="0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1" fontId="5" fillId="0" borderId="0" xfId="0" applyNumberFormat="1" applyFont="1" applyFill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2" fontId="12" fillId="0" borderId="0" xfId="0" applyNumberFormat="1" applyFont="1" applyAlignment="1">
      <alignment horizontal="center"/>
    </xf>
    <xf numFmtId="0" fontId="23" fillId="0" borderId="0" xfId="0" applyFont="1" applyFill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71" fontId="5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164" fontId="1" fillId="0" borderId="0" xfId="0" applyNumberFormat="1" applyFont="1" applyAlignment="1">
      <alignment horizontal="left" vertical="center"/>
    </xf>
    <xf numFmtId="164" fontId="5" fillId="0" borderId="0" xfId="0" applyNumberFormat="1" applyFont="1" applyAlignment="1">
      <alignment horizontal="left" vertical="center"/>
    </xf>
    <xf numFmtId="2" fontId="27" fillId="0" borderId="0" xfId="0" applyNumberFormat="1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2" fontId="27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" fontId="5" fillId="0" borderId="0" xfId="0" applyNumberFormat="1" applyFont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left"/>
    </xf>
    <xf numFmtId="0" fontId="24" fillId="5" borderId="0" xfId="0" applyFont="1" applyFill="1" applyBorder="1" applyAlignment="1">
      <alignment horizontal="center" vertical="center"/>
    </xf>
    <xf numFmtId="0" fontId="24" fillId="5" borderId="0" xfId="0" applyFont="1" applyFill="1" applyAlignment="1">
      <alignment horizontal="center" vertical="center"/>
    </xf>
    <xf numFmtId="0" fontId="27" fillId="5" borderId="0" xfId="0" applyFont="1" applyFill="1" applyAlignment="1">
      <alignment horizontal="center" vertical="center"/>
    </xf>
    <xf numFmtId="2" fontId="12" fillId="5" borderId="0" xfId="0" applyNumberFormat="1" applyFont="1" applyFill="1" applyBorder="1" applyAlignment="1">
      <alignment horizontal="center" vertical="center"/>
    </xf>
    <xf numFmtId="2" fontId="12" fillId="5" borderId="0" xfId="0" applyNumberFormat="1" applyFont="1" applyFill="1" applyAlignment="1">
      <alignment horizontal="center"/>
    </xf>
    <xf numFmtId="165" fontId="12" fillId="5" borderId="0" xfId="0" applyNumberFormat="1" applyFont="1" applyFill="1" applyBorder="1" applyAlignment="1">
      <alignment horizontal="center" vertical="center"/>
    </xf>
    <xf numFmtId="0" fontId="28" fillId="5" borderId="0" xfId="0" applyFont="1" applyFill="1"/>
    <xf numFmtId="1" fontId="28" fillId="5" borderId="0" xfId="0" applyNumberFormat="1" applyFont="1" applyFill="1" applyAlignment="1">
      <alignment horizontal="center"/>
    </xf>
    <xf numFmtId="0" fontId="21" fillId="5" borderId="0" xfId="0" applyFont="1" applyFill="1"/>
    <xf numFmtId="0" fontId="16" fillId="5" borderId="0" xfId="0" applyFont="1" applyFill="1" applyAlignment="1">
      <alignment horizontal="center"/>
    </xf>
    <xf numFmtId="2" fontId="23" fillId="5" borderId="0" xfId="0" applyNumberFormat="1" applyFont="1" applyFill="1" applyAlignment="1">
      <alignment horizontal="center"/>
    </xf>
    <xf numFmtId="1" fontId="23" fillId="5" borderId="0" xfId="0" applyNumberFormat="1" applyFont="1" applyFill="1" applyAlignment="1">
      <alignment horizontal="center"/>
    </xf>
    <xf numFmtId="172" fontId="23" fillId="5" borderId="0" xfId="0" applyNumberFormat="1" applyFont="1" applyFill="1" applyAlignment="1">
      <alignment horizontal="center"/>
    </xf>
    <xf numFmtId="0" fontId="23" fillId="5" borderId="0" xfId="0" applyFont="1" applyFill="1" applyAlignment="1">
      <alignment horizontal="center"/>
    </xf>
    <xf numFmtId="2" fontId="23" fillId="5" borderId="0" xfId="0" applyNumberFormat="1" applyFont="1" applyFill="1" applyBorder="1" applyAlignment="1">
      <alignment horizontal="center" vertical="center"/>
    </xf>
    <xf numFmtId="0" fontId="26" fillId="5" borderId="0" xfId="0" applyFont="1" applyFill="1"/>
    <xf numFmtId="0" fontId="1" fillId="5" borderId="0" xfId="0" applyFont="1" applyFill="1" applyBorder="1" applyAlignment="1">
      <alignment horizontal="center" vertical="center"/>
    </xf>
    <xf numFmtId="164" fontId="5" fillId="5" borderId="0" xfId="0" applyNumberFormat="1" applyFont="1" applyFill="1" applyBorder="1" applyAlignment="1">
      <alignment horizontal="center" vertical="center"/>
    </xf>
    <xf numFmtId="164" fontId="5" fillId="5" borderId="0" xfId="0" applyNumberFormat="1" applyFont="1" applyFill="1" applyAlignment="1">
      <alignment horizontal="center" vertical="center"/>
    </xf>
    <xf numFmtId="164" fontId="23" fillId="5" borderId="0" xfId="0" applyNumberFormat="1" applyFont="1" applyFill="1" applyAlignment="1">
      <alignment horizontal="center" vertical="center"/>
    </xf>
    <xf numFmtId="3" fontId="1" fillId="5" borderId="0" xfId="0" applyNumberFormat="1" applyFont="1" applyFill="1" applyAlignment="1">
      <alignment horizontal="center" vertical="center"/>
    </xf>
    <xf numFmtId="2" fontId="23" fillId="5" borderId="0" xfId="0" applyNumberFormat="1" applyFont="1" applyFill="1" applyAlignment="1">
      <alignment horizontal="center" vertical="center"/>
    </xf>
    <xf numFmtId="1" fontId="12" fillId="5" borderId="0" xfId="0" applyNumberFormat="1" applyFont="1" applyFill="1" applyBorder="1" applyAlignment="1">
      <alignment horizontal="center" vertical="center"/>
    </xf>
    <xf numFmtId="0" fontId="0" fillId="5" borderId="0" xfId="0" applyFill="1"/>
    <xf numFmtId="3" fontId="5" fillId="5" borderId="0" xfId="0" applyNumberFormat="1" applyFont="1" applyFill="1" applyBorder="1" applyAlignment="1">
      <alignment horizontal="center" vertical="center"/>
    </xf>
    <xf numFmtId="164" fontId="12" fillId="5" borderId="0" xfId="0" applyNumberFormat="1" applyFont="1" applyFill="1" applyBorder="1" applyAlignment="1">
      <alignment horizontal="center" vertical="center"/>
    </xf>
    <xf numFmtId="2" fontId="5" fillId="5" borderId="0" xfId="0" applyNumberFormat="1" applyFont="1" applyFill="1" applyBorder="1" applyAlignment="1">
      <alignment horizontal="center" vertical="center"/>
    </xf>
    <xf numFmtId="0" fontId="5" fillId="5" borderId="0" xfId="0" applyFont="1" applyFill="1"/>
    <xf numFmtId="2" fontId="5" fillId="5" borderId="0" xfId="0" applyNumberFormat="1" applyFont="1" applyFill="1" applyAlignment="1">
      <alignment horizontal="center"/>
    </xf>
    <xf numFmtId="0" fontId="9" fillId="5" borderId="0" xfId="0" applyFont="1" applyFill="1"/>
    <xf numFmtId="0" fontId="1" fillId="5" borderId="5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left" vertical="center"/>
    </xf>
    <xf numFmtId="0" fontId="1" fillId="5" borderId="0" xfId="0" applyFont="1" applyFill="1" applyAlignment="1">
      <alignment horizontal="left" vertical="center"/>
    </xf>
    <xf numFmtId="2" fontId="5" fillId="5" borderId="0" xfId="0" applyNumberFormat="1" applyFont="1" applyFill="1" applyAlignment="1">
      <alignment horizontal="center" vertical="center"/>
    </xf>
    <xf numFmtId="1" fontId="5" fillId="5" borderId="0" xfId="0" applyNumberFormat="1" applyFont="1" applyFill="1" applyAlignment="1">
      <alignment horizontal="center" vertical="center"/>
    </xf>
    <xf numFmtId="0" fontId="23" fillId="5" borderId="0" xfId="0" applyFont="1" applyFill="1" applyAlignment="1">
      <alignment horizontal="left" vertical="center"/>
    </xf>
    <xf numFmtId="0" fontId="9" fillId="5" borderId="0" xfId="0" applyFont="1" applyFill="1" applyAlignment="1">
      <alignment horizontal="center"/>
    </xf>
    <xf numFmtId="0" fontId="17" fillId="5" borderId="0" xfId="0" applyFont="1" applyFill="1"/>
    <xf numFmtId="1" fontId="17" fillId="5" borderId="0" xfId="0" applyNumberFormat="1" applyFont="1" applyFill="1" applyAlignment="1">
      <alignment horizontal="center"/>
    </xf>
    <xf numFmtId="1" fontId="5" fillId="5" borderId="0" xfId="0" applyNumberFormat="1" applyFont="1" applyFill="1" applyAlignment="1">
      <alignment horizontal="center"/>
    </xf>
    <xf numFmtId="169" fontId="5" fillId="5" borderId="0" xfId="0" applyNumberFormat="1" applyFont="1" applyFill="1" applyAlignment="1">
      <alignment horizontal="center"/>
    </xf>
    <xf numFmtId="172" fontId="5" fillId="5" borderId="0" xfId="0" applyNumberFormat="1" applyFont="1" applyFill="1" applyAlignment="1">
      <alignment horizontal="center"/>
    </xf>
    <xf numFmtId="165" fontId="5" fillId="5" borderId="0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/>
    </xf>
    <xf numFmtId="0" fontId="5" fillId="5" borderId="0" xfId="0" applyFont="1" applyFill="1" applyAlignment="1">
      <alignment horizontal="left"/>
    </xf>
    <xf numFmtId="2" fontId="5" fillId="5" borderId="0" xfId="0" applyNumberFormat="1" applyFont="1" applyFill="1" applyAlignment="1">
      <alignment horizontal="left"/>
    </xf>
    <xf numFmtId="1" fontId="5" fillId="5" borderId="0" xfId="0" applyNumberFormat="1" applyFont="1" applyFill="1" applyBorder="1" applyAlignment="1">
      <alignment horizontal="center" vertical="center"/>
    </xf>
    <xf numFmtId="0" fontId="0" fillId="5" borderId="0" xfId="0" applyFont="1" applyFill="1"/>
    <xf numFmtId="166" fontId="20" fillId="0" borderId="0" xfId="0" applyNumberFormat="1" applyFont="1" applyAlignment="1">
      <alignment horizontal="center"/>
    </xf>
    <xf numFmtId="3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172" fontId="5" fillId="0" borderId="0" xfId="0" applyNumberFormat="1" applyFont="1" applyAlignment="1">
      <alignment horizontal="center"/>
    </xf>
    <xf numFmtId="0" fontId="1" fillId="0" borderId="5" xfId="0" applyFont="1" applyBorder="1" applyAlignment="1">
      <alignment horizontal="center" vertical="center"/>
    </xf>
    <xf numFmtId="1" fontId="12" fillId="5" borderId="0" xfId="0" applyNumberFormat="1" applyFont="1" applyFill="1" applyAlignment="1">
      <alignment horizontal="center"/>
    </xf>
    <xf numFmtId="0" fontId="29" fillId="5" borderId="0" xfId="0" applyFont="1" applyFill="1"/>
    <xf numFmtId="0" fontId="12" fillId="5" borderId="0" xfId="0" applyFont="1" applyFill="1" applyAlignment="1">
      <alignment horizontal="center"/>
    </xf>
    <xf numFmtId="2" fontId="29" fillId="5" borderId="0" xfId="0" applyNumberFormat="1" applyFont="1" applyFill="1" applyAlignment="1">
      <alignment horizontal="center" vertical="center"/>
    </xf>
    <xf numFmtId="3" fontId="12" fillId="0" borderId="0" xfId="0" applyNumberFormat="1" applyFont="1" applyAlignment="1">
      <alignment horizontal="center"/>
    </xf>
    <xf numFmtId="4" fontId="12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173" fontId="9" fillId="0" borderId="6" xfId="0" applyNumberFormat="1" applyFont="1" applyBorder="1" applyAlignment="1">
      <alignment horizontal="center"/>
    </xf>
    <xf numFmtId="173" fontId="9" fillId="0" borderId="0" xfId="0" applyNumberFormat="1" applyFont="1" applyBorder="1" applyAlignment="1">
      <alignment horizontal="center"/>
    </xf>
    <xf numFmtId="173" fontId="9" fillId="0" borderId="3" xfId="0" applyNumberFormat="1" applyFont="1" applyBorder="1" applyAlignment="1">
      <alignment horizontal="center"/>
    </xf>
    <xf numFmtId="172" fontId="9" fillId="0" borderId="6" xfId="0" applyNumberFormat="1" applyFont="1" applyBorder="1" applyAlignment="1">
      <alignment horizontal="center"/>
    </xf>
    <xf numFmtId="172" fontId="9" fillId="0" borderId="6" xfId="0" applyNumberFormat="1" applyFont="1" applyBorder="1" applyAlignment="1">
      <alignment horizontal="center" vertical="center"/>
    </xf>
    <xf numFmtId="172" fontId="9" fillId="0" borderId="0" xfId="0" applyNumberFormat="1" applyFont="1" applyBorder="1" applyAlignment="1">
      <alignment horizontal="center"/>
    </xf>
    <xf numFmtId="172" fontId="9" fillId="0" borderId="0" xfId="0" applyNumberFormat="1" applyFont="1" applyBorder="1" applyAlignment="1">
      <alignment horizontal="center" vertical="center"/>
    </xf>
    <xf numFmtId="172" fontId="9" fillId="0" borderId="3" xfId="0" applyNumberFormat="1" applyFont="1" applyBorder="1" applyAlignment="1">
      <alignment horizontal="center"/>
    </xf>
    <xf numFmtId="172" fontId="9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1" fontId="13" fillId="0" borderId="0" xfId="0" applyNumberFormat="1" applyFont="1"/>
    <xf numFmtId="3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center"/>
    </xf>
    <xf numFmtId="173" fontId="19" fillId="0" borderId="0" xfId="0" applyNumberFormat="1" applyFont="1" applyAlignment="1">
      <alignment horizontal="center"/>
    </xf>
    <xf numFmtId="172" fontId="0" fillId="5" borderId="0" xfId="0" applyNumberFormat="1" applyFill="1" applyAlignment="1">
      <alignment horizontal="center"/>
    </xf>
    <xf numFmtId="169" fontId="5" fillId="5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5" fillId="2" borderId="8" xfId="0" applyNumberFormat="1" applyFont="1" applyFill="1" applyBorder="1" applyAlignment="1">
      <alignment horizontal="center"/>
    </xf>
    <xf numFmtId="0" fontId="12" fillId="0" borderId="0" xfId="2" applyFont="1" applyFill="1" applyBorder="1" applyAlignment="1">
      <alignment horizontal="center"/>
    </xf>
    <xf numFmtId="0" fontId="29" fillId="0" borderId="0" xfId="0" applyFont="1"/>
    <xf numFmtId="165" fontId="29" fillId="0" borderId="0" xfId="0" applyNumberFormat="1" applyFont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164" fontId="5" fillId="5" borderId="0" xfId="0" quotePrefix="1" applyNumberFormat="1" applyFont="1" applyFill="1" applyAlignment="1">
      <alignment horizontal="center" vertical="center"/>
    </xf>
    <xf numFmtId="164" fontId="5" fillId="3" borderId="8" xfId="0" quotePrefix="1" applyNumberFormat="1" applyFont="1" applyFill="1" applyBorder="1" applyAlignment="1">
      <alignment horizontal="center"/>
    </xf>
    <xf numFmtId="1" fontId="9" fillId="0" borderId="0" xfId="0" applyNumberFormat="1" applyFont="1" applyFill="1" applyAlignment="1">
      <alignment horizontal="center" vertical="center"/>
    </xf>
    <xf numFmtId="164" fontId="10" fillId="0" borderId="0" xfId="0" applyNumberFormat="1" applyFont="1"/>
    <xf numFmtId="164" fontId="9" fillId="0" borderId="0" xfId="0" applyNumberFormat="1" applyFont="1" applyBorder="1" applyAlignment="1">
      <alignment horizontal="center" vertical="center"/>
    </xf>
    <xf numFmtId="0" fontId="10" fillId="0" borderId="0" xfId="0" applyFont="1" applyBorder="1"/>
    <xf numFmtId="164" fontId="9" fillId="0" borderId="0" xfId="0" applyNumberFormat="1" applyFont="1"/>
    <xf numFmtId="3" fontId="16" fillId="3" borderId="0" xfId="0" applyNumberFormat="1" applyFont="1" applyFill="1" applyBorder="1" applyAlignment="1" applyProtection="1">
      <alignment horizontal="center"/>
      <protection hidden="1"/>
    </xf>
    <xf numFmtId="0" fontId="31" fillId="3" borderId="0" xfId="0" applyFont="1" applyFill="1" applyBorder="1"/>
    <xf numFmtId="0" fontId="31" fillId="3" borderId="0" xfId="0" applyFont="1" applyFill="1"/>
    <xf numFmtId="0" fontId="31" fillId="0" borderId="0" xfId="0" applyFont="1"/>
    <xf numFmtId="164" fontId="10" fillId="0" borderId="0" xfId="0" applyNumberFormat="1" applyFont="1" applyBorder="1"/>
    <xf numFmtId="3" fontId="12" fillId="0" borderId="0" xfId="0" applyNumberFormat="1" applyFont="1" applyBorder="1" applyAlignment="1">
      <alignment horizontal="center" vertical="center"/>
    </xf>
    <xf numFmtId="164" fontId="12" fillId="5" borderId="0" xfId="0" applyNumberFormat="1" applyFont="1" applyFill="1" applyAlignment="1">
      <alignment horizontal="center" vertical="center"/>
    </xf>
    <xf numFmtId="0" fontId="20" fillId="0" borderId="7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19" fillId="0" borderId="0" xfId="0" applyFont="1" applyBorder="1"/>
    <xf numFmtId="2" fontId="19" fillId="0" borderId="0" xfId="0" applyNumberFormat="1" applyFont="1" applyBorder="1" applyAlignment="1">
      <alignment horizontal="center"/>
    </xf>
    <xf numFmtId="165" fontId="19" fillId="0" borderId="0" xfId="0" applyNumberFormat="1" applyFont="1" applyBorder="1" applyAlignment="1">
      <alignment horizontal="center"/>
    </xf>
    <xf numFmtId="0" fontId="19" fillId="0" borderId="3" xfId="0" applyFont="1" applyBorder="1"/>
    <xf numFmtId="0" fontId="1" fillId="0" borderId="0" xfId="0" applyFont="1" applyAlignment="1">
      <alignment horizontal="left"/>
    </xf>
    <xf numFmtId="0" fontId="13" fillId="0" borderId="0" xfId="0" applyFont="1" applyBorder="1" applyAlignment="1">
      <alignment horizontal="center"/>
    </xf>
    <xf numFmtId="0" fontId="0" fillId="0" borderId="0" xfId="0" applyBorder="1"/>
    <xf numFmtId="0" fontId="32" fillId="0" borderId="0" xfId="0" applyFont="1"/>
    <xf numFmtId="1" fontId="27" fillId="0" borderId="0" xfId="0" applyNumberFormat="1" applyFont="1" applyBorder="1" applyAlignment="1">
      <alignment horizontal="center" vertical="center"/>
    </xf>
    <xf numFmtId="171" fontId="12" fillId="0" borderId="0" xfId="0" applyNumberFormat="1" applyFont="1" applyBorder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1" fontId="27" fillId="0" borderId="0" xfId="0" applyNumberFormat="1" applyFont="1" applyFill="1" applyAlignment="1">
      <alignment horizontal="center" vertical="center"/>
    </xf>
    <xf numFmtId="164" fontId="23" fillId="5" borderId="0" xfId="0" applyNumberFormat="1" applyFont="1" applyFill="1" applyBorder="1" applyAlignment="1">
      <alignment horizontal="center" vertical="center"/>
    </xf>
    <xf numFmtId="3" fontId="24" fillId="5" borderId="0" xfId="0" applyNumberFormat="1" applyFont="1" applyFill="1" applyAlignment="1">
      <alignment horizontal="center" vertical="center"/>
    </xf>
    <xf numFmtId="1" fontId="23" fillId="5" borderId="0" xfId="0" applyNumberFormat="1" applyFont="1" applyFill="1" applyBorder="1" applyAlignment="1">
      <alignment horizontal="center" vertical="center"/>
    </xf>
    <xf numFmtId="165" fontId="23" fillId="5" borderId="0" xfId="0" applyNumberFormat="1" applyFont="1" applyFill="1" applyBorder="1" applyAlignment="1">
      <alignment horizontal="center" vertical="center"/>
    </xf>
    <xf numFmtId="3" fontId="23" fillId="5" borderId="0" xfId="0" applyNumberFormat="1" applyFont="1" applyFill="1" applyBorder="1" applyAlignment="1">
      <alignment horizontal="center" vertical="center"/>
    </xf>
    <xf numFmtId="164" fontId="12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" fillId="0" borderId="0" xfId="0" applyFont="1" applyAlignment="1">
      <alignment horizontal="left"/>
    </xf>
    <xf numFmtId="3" fontId="12" fillId="7" borderId="8" xfId="2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33" fillId="0" borderId="0" xfId="0" applyFont="1"/>
    <xf numFmtId="0" fontId="4" fillId="0" borderId="0" xfId="0" applyFont="1" applyAlignment="1">
      <alignment vertical="center"/>
    </xf>
    <xf numFmtId="0" fontId="4" fillId="5" borderId="0" xfId="0" applyFont="1" applyFill="1" applyBorder="1" applyAlignment="1">
      <alignment vertical="center"/>
    </xf>
    <xf numFmtId="2" fontId="8" fillId="0" borderId="0" xfId="0" applyNumberFormat="1" applyFont="1" applyBorder="1" applyAlignment="1">
      <alignment horizontal="center"/>
    </xf>
    <xf numFmtId="0" fontId="1" fillId="2" borderId="12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5" borderId="0" xfId="0" applyFont="1" applyFill="1" applyBorder="1" applyAlignment="1">
      <alignment horizontal="center" vertical="center"/>
    </xf>
    <xf numFmtId="165" fontId="9" fillId="0" borderId="0" xfId="0" applyNumberFormat="1" applyFont="1" applyAlignment="1">
      <alignment horizontal="center"/>
    </xf>
    <xf numFmtId="164" fontId="5" fillId="0" borderId="0" xfId="0" applyNumberFormat="1" applyFont="1" applyFill="1" applyAlignment="1">
      <alignment horizontal="center" vertical="center"/>
    </xf>
    <xf numFmtId="164" fontId="36" fillId="5" borderId="0" xfId="0" applyNumberFormat="1" applyFont="1" applyFill="1" applyBorder="1" applyAlignment="1">
      <alignment horizontal="center" vertical="center"/>
    </xf>
    <xf numFmtId="164" fontId="37" fillId="5" borderId="0" xfId="0" applyNumberFormat="1" applyFont="1" applyFill="1" applyBorder="1" applyAlignment="1">
      <alignment horizontal="center" vertical="center"/>
    </xf>
    <xf numFmtId="164" fontId="36" fillId="5" borderId="0" xfId="0" applyNumberFormat="1" applyFont="1" applyFill="1" applyAlignment="1">
      <alignment horizontal="center" vertical="center"/>
    </xf>
    <xf numFmtId="164" fontId="37" fillId="5" borderId="0" xfId="0" applyNumberFormat="1" applyFont="1" applyFill="1" applyAlignment="1">
      <alignment horizontal="center" vertical="center"/>
    </xf>
    <xf numFmtId="3" fontId="34" fillId="5" borderId="0" xfId="0" applyNumberFormat="1" applyFont="1" applyFill="1" applyAlignment="1">
      <alignment horizontal="center" vertical="center"/>
    </xf>
    <xf numFmtId="164" fontId="36" fillId="5" borderId="0" xfId="0" quotePrefix="1" applyNumberFormat="1" applyFont="1" applyFill="1" applyAlignment="1">
      <alignment horizontal="center" vertical="center"/>
    </xf>
    <xf numFmtId="1" fontId="36" fillId="5" borderId="0" xfId="0" applyNumberFormat="1" applyFont="1" applyFill="1" applyBorder="1" applyAlignment="1">
      <alignment horizontal="center" vertical="center"/>
    </xf>
    <xf numFmtId="1" fontId="37" fillId="5" borderId="0" xfId="0" applyNumberFormat="1" applyFont="1" applyFill="1" applyBorder="1" applyAlignment="1">
      <alignment horizontal="center" vertical="center"/>
    </xf>
    <xf numFmtId="165" fontId="36" fillId="5" borderId="0" xfId="0" applyNumberFormat="1" applyFont="1" applyFill="1" applyBorder="1" applyAlignment="1">
      <alignment horizontal="center" vertical="center"/>
    </xf>
    <xf numFmtId="165" fontId="37" fillId="5" borderId="0" xfId="0" applyNumberFormat="1" applyFont="1" applyFill="1" applyBorder="1" applyAlignment="1">
      <alignment horizontal="center" vertical="center"/>
    </xf>
    <xf numFmtId="3" fontId="36" fillId="5" borderId="0" xfId="0" applyNumberFormat="1" applyFont="1" applyFill="1" applyBorder="1" applyAlignment="1">
      <alignment horizontal="center" vertical="center"/>
    </xf>
    <xf numFmtId="3" fontId="37" fillId="5" borderId="0" xfId="0" applyNumberFormat="1" applyFont="1" applyFill="1" applyBorder="1" applyAlignment="1">
      <alignment horizontal="center" vertical="center"/>
    </xf>
    <xf numFmtId="2" fontId="36" fillId="5" borderId="0" xfId="0" applyNumberFormat="1" applyFont="1" applyFill="1" applyBorder="1" applyAlignment="1">
      <alignment horizontal="center" vertical="center"/>
    </xf>
    <xf numFmtId="2" fontId="37" fillId="5" borderId="0" xfId="0" applyNumberFormat="1" applyFont="1" applyFill="1" applyBorder="1" applyAlignment="1">
      <alignment horizontal="center" vertical="center"/>
    </xf>
    <xf numFmtId="0" fontId="19" fillId="5" borderId="0" xfId="0" applyFont="1" applyFill="1" applyAlignment="1">
      <alignment horizontal="left" vertical="center"/>
    </xf>
    <xf numFmtId="2" fontId="36" fillId="5" borderId="0" xfId="0" applyNumberFormat="1" applyFont="1" applyFill="1" applyAlignment="1">
      <alignment horizontal="center" vertical="center"/>
    </xf>
    <xf numFmtId="2" fontId="12" fillId="5" borderId="0" xfId="0" applyNumberFormat="1" applyFont="1" applyFill="1" applyAlignment="1">
      <alignment horizontal="center" vertical="center"/>
    </xf>
    <xf numFmtId="0" fontId="36" fillId="5" borderId="0" xfId="0" applyFont="1" applyFill="1" applyAlignment="1">
      <alignment horizontal="left" vertical="center"/>
    </xf>
    <xf numFmtId="0" fontId="1" fillId="2" borderId="4" xfId="0" applyFont="1" applyFill="1" applyBorder="1" applyAlignment="1">
      <alignment vertical="center"/>
    </xf>
    <xf numFmtId="0" fontId="19" fillId="5" borderId="0" xfId="0" applyFont="1" applyFill="1"/>
    <xf numFmtId="2" fontId="19" fillId="5" borderId="0" xfId="0" applyNumberFormat="1" applyFont="1" applyFill="1" applyAlignment="1">
      <alignment horizontal="center"/>
    </xf>
    <xf numFmtId="0" fontId="20" fillId="0" borderId="0" xfId="0" applyFont="1" applyAlignment="1">
      <alignment horizontal="center" vertical="center"/>
    </xf>
    <xf numFmtId="3" fontId="19" fillId="0" borderId="0" xfId="0" applyNumberFormat="1" applyFont="1" applyAlignment="1">
      <alignment horizontal="center" vertical="center"/>
    </xf>
    <xf numFmtId="164" fontId="19" fillId="0" borderId="0" xfId="0" applyNumberFormat="1" applyFont="1" applyAlignment="1">
      <alignment horizontal="center" vertical="center"/>
    </xf>
    <xf numFmtId="172" fontId="19" fillId="0" borderId="0" xfId="0" applyNumberFormat="1" applyFont="1" applyAlignment="1">
      <alignment horizontal="center"/>
    </xf>
    <xf numFmtId="3" fontId="19" fillId="5" borderId="0" xfId="0" applyNumberFormat="1" applyFont="1" applyFill="1" applyAlignment="1">
      <alignment horizontal="center"/>
    </xf>
    <xf numFmtId="0" fontId="4" fillId="2" borderId="4" xfId="0" applyFont="1" applyFill="1" applyBorder="1" applyAlignment="1">
      <alignment vertical="center"/>
    </xf>
    <xf numFmtId="0" fontId="34" fillId="5" borderId="7" xfId="0" applyFont="1" applyFill="1" applyBorder="1" applyAlignment="1">
      <alignment horizontal="center" vertical="center"/>
    </xf>
    <xf numFmtId="0" fontId="24" fillId="5" borderId="7" xfId="0" applyFont="1" applyFill="1" applyBorder="1" applyAlignment="1">
      <alignment horizontal="center" vertical="center"/>
    </xf>
    <xf numFmtId="174" fontId="19" fillId="0" borderId="0" xfId="0" applyNumberFormat="1" applyFont="1" applyAlignment="1">
      <alignment horizontal="center" vertical="center"/>
    </xf>
    <xf numFmtId="3" fontId="5" fillId="0" borderId="0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left" vertical="center"/>
    </xf>
    <xf numFmtId="164" fontId="0" fillId="5" borderId="0" xfId="0" applyNumberFormat="1" applyFont="1" applyFill="1" applyAlignment="1">
      <alignment horizontal="center"/>
    </xf>
    <xf numFmtId="0" fontId="1" fillId="5" borderId="0" xfId="0" applyFont="1" applyFill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Font="1" applyAlignment="1">
      <alignment horizontal="center"/>
    </xf>
    <xf numFmtId="2" fontId="0" fillId="0" borderId="0" xfId="0" applyNumberFormat="1" applyFont="1"/>
    <xf numFmtId="2" fontId="5" fillId="7" borderId="16" xfId="0" applyNumberFormat="1" applyFont="1" applyFill="1" applyBorder="1" applyAlignment="1" applyProtection="1">
      <alignment horizontal="center"/>
      <protection locked="0"/>
    </xf>
    <xf numFmtId="2" fontId="5" fillId="7" borderId="8" xfId="0" applyNumberFormat="1" applyFont="1" applyFill="1" applyBorder="1" applyAlignment="1" applyProtection="1">
      <alignment horizontal="center"/>
      <protection locked="0"/>
    </xf>
    <xf numFmtId="164" fontId="5" fillId="7" borderId="8" xfId="0" applyNumberFormat="1" applyFont="1" applyFill="1" applyBorder="1" applyAlignment="1" applyProtection="1">
      <alignment horizontal="center"/>
      <protection locked="0"/>
    </xf>
    <xf numFmtId="3" fontId="5" fillId="7" borderId="8" xfId="0" applyNumberFormat="1" applyFont="1" applyFill="1" applyBorder="1" applyAlignment="1" applyProtection="1">
      <alignment horizontal="center"/>
      <protection locked="0"/>
    </xf>
    <xf numFmtId="164" fontId="23" fillId="3" borderId="0" xfId="0" applyNumberFormat="1" applyFont="1" applyFill="1" applyBorder="1" applyAlignment="1" applyProtection="1">
      <alignment horizontal="center"/>
      <protection locked="0"/>
    </xf>
    <xf numFmtId="3" fontId="23" fillId="3" borderId="0" xfId="0" applyNumberFormat="1" applyFont="1" applyFill="1" applyBorder="1" applyAlignment="1" applyProtection="1">
      <alignment horizontal="center"/>
      <protection locked="0"/>
    </xf>
    <xf numFmtId="3" fontId="5" fillId="3" borderId="0" xfId="0" applyNumberFormat="1" applyFont="1" applyFill="1" applyBorder="1" applyAlignment="1" applyProtection="1">
      <alignment horizontal="center"/>
      <protection locked="0"/>
    </xf>
    <xf numFmtId="0" fontId="5" fillId="7" borderId="16" xfId="0" applyFont="1" applyFill="1" applyBorder="1" applyAlignment="1" applyProtection="1">
      <alignment horizontal="center"/>
      <protection locked="0"/>
    </xf>
    <xf numFmtId="0" fontId="5" fillId="7" borderId="8" xfId="0" applyFont="1" applyFill="1" applyBorder="1" applyAlignment="1" applyProtection="1">
      <alignment horizontal="center"/>
      <protection locked="0"/>
    </xf>
    <xf numFmtId="0" fontId="5" fillId="7" borderId="8" xfId="0" applyFont="1" applyFill="1" applyBorder="1" applyAlignment="1" applyProtection="1">
      <alignment horizontal="center" vertical="center"/>
      <protection locked="0"/>
    </xf>
    <xf numFmtId="2" fontId="23" fillId="3" borderId="0" xfId="0" applyNumberFormat="1" applyFont="1" applyFill="1" applyBorder="1" applyAlignment="1" applyProtection="1">
      <alignment horizontal="center"/>
      <protection locked="0"/>
    </xf>
    <xf numFmtId="0" fontId="1" fillId="5" borderId="0" xfId="0" applyFont="1" applyFill="1" applyBorder="1" applyAlignment="1">
      <alignment horizontal="center" vertical="center"/>
    </xf>
    <xf numFmtId="2" fontId="12" fillId="0" borderId="0" xfId="0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horizontal="left" vertical="center"/>
    </xf>
    <xf numFmtId="2" fontId="23" fillId="0" borderId="0" xfId="0" applyNumberFormat="1" applyFont="1" applyFill="1" applyAlignment="1">
      <alignment horizontal="center" vertical="center"/>
    </xf>
    <xf numFmtId="1" fontId="13" fillId="0" borderId="0" xfId="0" applyNumberFormat="1" applyFont="1" applyAlignment="1">
      <alignment horizontal="center"/>
    </xf>
    <xf numFmtId="0" fontId="1" fillId="0" borderId="0" xfId="0" applyFont="1" applyFill="1" applyAlignment="1">
      <alignment horizontal="left" vertical="center"/>
    </xf>
    <xf numFmtId="0" fontId="13" fillId="0" borderId="0" xfId="0" applyFont="1" applyAlignment="1">
      <alignment horizontal="left"/>
    </xf>
    <xf numFmtId="2" fontId="19" fillId="0" borderId="0" xfId="0" quotePrefix="1" applyNumberFormat="1" applyFont="1" applyAlignment="1">
      <alignment horizontal="center"/>
    </xf>
    <xf numFmtId="0" fontId="0" fillId="0" borderId="0" xfId="0" quotePrefix="1" applyAlignment="1">
      <alignment horizontal="center"/>
    </xf>
    <xf numFmtId="164" fontId="13" fillId="0" borderId="0" xfId="0" applyNumberFormat="1" applyFont="1" applyAlignment="1">
      <alignment horizontal="center"/>
    </xf>
    <xf numFmtId="175" fontId="12" fillId="0" borderId="0" xfId="0" applyNumberFormat="1" applyFont="1" applyAlignment="1">
      <alignment horizontal="center"/>
    </xf>
    <xf numFmtId="1" fontId="1" fillId="5" borderId="0" xfId="0" applyNumberFormat="1" applyFont="1" applyFill="1" applyBorder="1" applyAlignment="1">
      <alignment horizontal="center" vertical="center"/>
    </xf>
    <xf numFmtId="0" fontId="23" fillId="5" borderId="0" xfId="0" applyFont="1" applyFill="1" applyAlignment="1">
      <alignment horizontal="left"/>
    </xf>
    <xf numFmtId="4" fontId="23" fillId="0" borderId="0" xfId="0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horizontal="left" vertical="center"/>
    </xf>
    <xf numFmtId="0" fontId="39" fillId="0" borderId="0" xfId="0" applyFont="1" applyBorder="1" applyAlignment="1">
      <alignment horizontal="left" vertical="center" wrapText="1"/>
    </xf>
    <xf numFmtId="0" fontId="5" fillId="0" borderId="0" xfId="0" applyFont="1" applyAlignment="1"/>
    <xf numFmtId="0" fontId="12" fillId="0" borderId="0" xfId="0" applyFont="1" applyAlignment="1">
      <alignment horizontal="left" vertical="top" wrapText="1"/>
    </xf>
    <xf numFmtId="0" fontId="27" fillId="0" borderId="0" xfId="0" applyFont="1" applyAlignment="1">
      <alignment horizontal="left"/>
    </xf>
    <xf numFmtId="0" fontId="1" fillId="8" borderId="0" xfId="0" applyFont="1" applyFill="1" applyAlignment="1">
      <alignment horizontal="center" vertical="center"/>
    </xf>
    <xf numFmtId="0" fontId="0" fillId="0" borderId="3" xfId="0" applyBorder="1"/>
    <xf numFmtId="164" fontId="5" fillId="5" borderId="0" xfId="0" quotePrefix="1" applyNumberFormat="1" applyFont="1" applyFill="1" applyBorder="1" applyAlignment="1">
      <alignment horizontal="center" vertical="center"/>
    </xf>
    <xf numFmtId="2" fontId="12" fillId="0" borderId="0" xfId="0" applyNumberFormat="1" applyFont="1" applyAlignment="1" applyProtection="1">
      <alignment horizontal="center"/>
      <protection locked="0"/>
    </xf>
    <xf numFmtId="165" fontId="9" fillId="0" borderId="0" xfId="0" applyNumberFormat="1" applyFont="1" applyBorder="1" applyAlignment="1">
      <alignment horizontal="center" vertical="center"/>
    </xf>
    <xf numFmtId="165" fontId="9" fillId="0" borderId="0" xfId="0" applyNumberFormat="1" applyFont="1"/>
    <xf numFmtId="3" fontId="0" fillId="0" borderId="0" xfId="0" applyNumberFormat="1"/>
    <xf numFmtId="0" fontId="12" fillId="0" borderId="0" xfId="0" applyFont="1" applyAlignment="1">
      <alignment horizontal="left" vertical="top" wrapText="1"/>
    </xf>
    <xf numFmtId="0" fontId="1" fillId="8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/>
    </xf>
    <xf numFmtId="0" fontId="8" fillId="0" borderId="0" xfId="0" applyFont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Fill="1" applyAlignment="1">
      <alignment horizontal="left" vertical="center"/>
    </xf>
    <xf numFmtId="0" fontId="1" fillId="0" borderId="0" xfId="0" applyFont="1" applyAlignment="1">
      <alignment horizontal="center" vertical="center"/>
    </xf>
    <xf numFmtId="165" fontId="5" fillId="7" borderId="8" xfId="0" applyNumberFormat="1" applyFont="1" applyFill="1" applyBorder="1" applyAlignment="1" applyProtection="1">
      <alignment horizontal="center"/>
      <protection locked="0"/>
    </xf>
    <xf numFmtId="165" fontId="12" fillId="0" borderId="0" xfId="0" applyNumberFormat="1" applyFont="1" applyAlignment="1">
      <alignment horizontal="center"/>
    </xf>
    <xf numFmtId="0" fontId="27" fillId="5" borderId="0" xfId="0" applyFont="1" applyFill="1" applyBorder="1" applyAlignment="1">
      <alignment horizontal="center" vertical="center"/>
    </xf>
    <xf numFmtId="3" fontId="27" fillId="5" borderId="0" xfId="0" applyNumberFormat="1" applyFont="1" applyFill="1" applyAlignment="1">
      <alignment horizontal="center" vertical="center"/>
    </xf>
    <xf numFmtId="3" fontId="12" fillId="5" borderId="0" xfId="0" applyNumberFormat="1" applyFont="1" applyFill="1" applyBorder="1" applyAlignment="1">
      <alignment horizontal="center" vertical="center"/>
    </xf>
    <xf numFmtId="1" fontId="12" fillId="0" borderId="0" xfId="0" applyNumberFormat="1" applyFont="1" applyAlignment="1">
      <alignment horizontal="center"/>
    </xf>
    <xf numFmtId="164" fontId="21" fillId="5" borderId="0" xfId="0" applyNumberFormat="1" applyFont="1" applyFill="1" applyAlignment="1">
      <alignment horizontal="center"/>
    </xf>
    <xf numFmtId="0" fontId="18" fillId="2" borderId="0" xfId="0" applyFont="1" applyFill="1" applyBorder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27" fillId="0" borderId="0" xfId="0" applyFont="1" applyAlignment="1">
      <alignment horizontal="left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top" wrapText="1"/>
    </xf>
    <xf numFmtId="0" fontId="12" fillId="0" borderId="0" xfId="0" quotePrefix="1" applyFont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14" fillId="0" borderId="0" xfId="1" applyFont="1" applyAlignment="1">
      <alignment horizontal="left" vertical="center"/>
    </xf>
    <xf numFmtId="0" fontId="12" fillId="0" borderId="0" xfId="0" quotePrefix="1" applyFont="1" applyAlignment="1">
      <alignment horizontal="left" wrapText="1"/>
    </xf>
    <xf numFmtId="0" fontId="27" fillId="0" borderId="0" xfId="0" quotePrefix="1" applyFont="1" applyAlignment="1">
      <alignment horizontal="left" wrapText="1"/>
    </xf>
    <xf numFmtId="0" fontId="24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9" xfId="0" applyFont="1" applyBorder="1" applyAlignment="1">
      <alignment horizontal="center"/>
    </xf>
    <xf numFmtId="0" fontId="19" fillId="0" borderId="0" xfId="0" applyFont="1" applyBorder="1" applyAlignment="1">
      <alignment horizontal="left"/>
    </xf>
    <xf numFmtId="0" fontId="8" fillId="0" borderId="3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9" xfId="0" applyFont="1" applyBorder="1" applyAlignment="1">
      <alignment horizontal="left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4" fillId="2" borderId="17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5" fillId="5" borderId="7" xfId="0" applyFont="1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34" fillId="5" borderId="7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64" fontId="20" fillId="0" borderId="0" xfId="0" applyNumberFormat="1" applyFont="1" applyAlignment="1">
      <alignment horizontal="center" vertical="center"/>
    </xf>
    <xf numFmtId="0" fontId="20" fillId="0" borderId="3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164" fontId="20" fillId="0" borderId="0" xfId="0" applyNumberFormat="1" applyFont="1" applyAlignment="1">
      <alignment horizontal="center"/>
    </xf>
    <xf numFmtId="2" fontId="20" fillId="0" borderId="0" xfId="0" applyNumberFormat="1" applyFont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1" fontId="1" fillId="0" borderId="0" xfId="0" applyNumberFormat="1" applyFont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3" fontId="12" fillId="0" borderId="3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8" fillId="0" borderId="0" xfId="0" applyFont="1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38" fillId="0" borderId="0" xfId="0" applyFont="1" applyBorder="1" applyAlignment="1">
      <alignment horizontal="left" vertical="center"/>
    </xf>
    <xf numFmtId="0" fontId="39" fillId="0" borderId="0" xfId="0" applyFont="1" applyBorder="1" applyAlignment="1">
      <alignment horizontal="left" vertical="center" wrapText="1"/>
    </xf>
  </cellXfs>
  <cellStyles count="3">
    <cellStyle name="Hyperlink" xfId="1" builtinId="8"/>
    <cellStyle name="Normal" xfId="0" builtinId="0"/>
    <cellStyle name="Normal 2" xfId="2"/>
  </cellStyles>
  <dxfs count="226"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color theme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</dxf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1"/>
      </font>
      <border>
        <left/>
        <right/>
        <top/>
        <bottom/>
        <vertical/>
        <horizontal/>
      </border>
    </dxf>
    <dxf>
      <font>
        <color auto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  <fill>
        <patternFill>
          <bgColor theme="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</dxf>
    <dxf>
      <fill>
        <patternFill>
          <bgColor rgb="FFCCFF33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</dxf>
    <dxf>
      <fill>
        <patternFill>
          <bgColor rgb="FFCCFF33"/>
        </patternFill>
      </fill>
    </dxf>
    <dxf>
      <fill>
        <patternFill>
          <bgColor rgb="FFFFFF99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FFFF99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</dxf>
    <dxf>
      <fill>
        <patternFill>
          <bgColor rgb="FFCCFF33"/>
        </patternFill>
      </fill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</dxf>
    <dxf>
      <fill>
        <patternFill>
          <bgColor rgb="FFCCFF33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1"/>
      </font>
      <border>
        <left/>
        <right/>
        <top/>
        <bottom/>
        <vertical/>
        <horizontal/>
      </border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 val="0"/>
        <i val="0"/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b val="0"/>
        <i val="0"/>
        <color theme="1"/>
      </font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1"/>
      </font>
    </dxf>
    <dxf>
      <font>
        <color theme="1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1"/>
      </font>
    </dxf>
    <dxf>
      <font>
        <color theme="1"/>
      </font>
    </dxf>
    <dxf>
      <font>
        <color auto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color theme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</dxf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1"/>
      </font>
      <border>
        <left/>
        <right/>
        <top/>
        <bottom/>
        <vertical/>
        <horizontal/>
      </border>
    </dxf>
    <dxf>
      <font>
        <color auto="1"/>
      </font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  <fill>
        <patternFill>
          <bgColor theme="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</dxf>
  </dxfs>
  <tableStyles count="0" defaultTableStyle="TableStyleMedium2" defaultPivotStyle="PivotStyleLight16"/>
  <colors>
    <mruColors>
      <color rgb="FFCCFF33"/>
      <color rgb="FFFFFF99"/>
      <color rgb="FFFFFF66"/>
      <color rgb="FF8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externalLink" Target="externalLinks/externalLink1.xml"/><Relationship Id="rId12" Type="http://schemas.openxmlformats.org/officeDocument/2006/relationships/theme" Target="theme/theme1.xml"/><Relationship Id="rId13" Type="http://schemas.openxmlformats.org/officeDocument/2006/relationships/styles" Target="styles.xml"/><Relationship Id="rId14" Type="http://schemas.openxmlformats.org/officeDocument/2006/relationships/sharedStrings" Target="sharedStrings.xml"/><Relationship Id="rId1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0775970338951"/>
          <c:y val="0.173181636093874"/>
          <c:w val="0.697375077398994"/>
          <c:h val="0.627875682369179"/>
        </c:manualLayout>
      </c:layout>
      <c:scatterChart>
        <c:scatterStyle val="lineMarker"/>
        <c:varyColors val="0"/>
        <c:ser>
          <c:idx val="0"/>
          <c:order val="0"/>
          <c:tx>
            <c:strRef>
              <c:f>GrowthCurveAdjustments!$C$1</c:f>
              <c:strCache>
                <c:ptCount val="1"/>
                <c:pt idx="0">
                  <c:v>ADG, lb</c:v>
                </c:pt>
              </c:strCache>
            </c:strRef>
          </c:tx>
          <c:spPr>
            <a:ln w="2540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25400">
                <a:noFill/>
              </a:ln>
              <a:effectLst/>
            </c:spPr>
          </c:marker>
          <c:xVal>
            <c:numRef>
              <c:f>GrowthCurveAdjustments!$B$2:$B$131</c:f>
              <c:numCache>
                <c:formatCode>0.0</c:formatCode>
                <c:ptCount val="130"/>
                <c:pt idx="0">
                  <c:v>47.35072379343023</c:v>
                </c:pt>
                <c:pt idx="1">
                  <c:v>48.827668250911</c:v>
                </c:pt>
                <c:pt idx="2">
                  <c:v>50.3254590254267</c:v>
                </c:pt>
                <c:pt idx="3">
                  <c:v>51.84380871946932</c:v>
                </c:pt>
                <c:pt idx="4">
                  <c:v>53.38242547823602</c:v>
                </c:pt>
                <c:pt idx="5">
                  <c:v>54.94101319162121</c:v>
                </c:pt>
                <c:pt idx="6">
                  <c:v>56.51927169580354</c:v>
                </c:pt>
                <c:pt idx="7">
                  <c:v>58.11689697430989</c:v>
                </c:pt>
                <c:pt idx="8">
                  <c:v>59.73358135843633</c:v>
                </c:pt>
                <c:pt idx="9">
                  <c:v>61.36901372690212</c:v>
                </c:pt>
                <c:pt idx="10">
                  <c:v>63.02287970461219</c:v>
                </c:pt>
                <c:pt idx="11">
                  <c:v>64.69486186040145</c:v>
                </c:pt>
                <c:pt idx="12">
                  <c:v>66.38463990363411</c:v>
                </c:pt>
                <c:pt idx="13">
                  <c:v>68.09189087953108</c:v>
                </c:pt>
                <c:pt idx="14">
                  <c:v>69.81628936309837</c:v>
                </c:pt>
                <c:pt idx="15">
                  <c:v>71.55750765153167</c:v>
                </c:pt>
                <c:pt idx="16">
                  <c:v>73.31521595497144</c:v>
                </c:pt>
                <c:pt idx="17">
                  <c:v>75.08908258548718</c:v>
                </c:pt>
                <c:pt idx="18">
                  <c:v>76.87877414416917</c:v>
                </c:pt>
                <c:pt idx="19">
                  <c:v>78.68395570621024</c:v>
                </c:pt>
                <c:pt idx="20">
                  <c:v>80.50429100386178</c:v>
                </c:pt>
                <c:pt idx="21">
                  <c:v>82.33944260715167</c:v>
                </c:pt>
                <c:pt idx="22">
                  <c:v>84.18907210225493</c:v>
                </c:pt>
                <c:pt idx="23">
                  <c:v>86.05284026741191</c:v>
                </c:pt>
                <c:pt idx="24">
                  <c:v>87.93040724629122</c:v>
                </c:pt>
                <c:pt idx="25">
                  <c:v>89.82143271870066</c:v>
                </c:pt>
                <c:pt idx="26">
                  <c:v>91.72557606855077</c:v>
                </c:pt>
                <c:pt idx="27">
                  <c:v>93.64249654898288</c:v>
                </c:pt>
                <c:pt idx="28">
                  <c:v>95.57185344457514</c:v>
                </c:pt>
                <c:pt idx="29">
                  <c:v>97.51330623054636</c:v>
                </c:pt>
                <c:pt idx="30">
                  <c:v>99.46651472888112</c:v>
                </c:pt>
                <c:pt idx="31">
                  <c:v>101.4311392613044</c:v>
                </c:pt>
                <c:pt idx="32">
                  <c:v>103.4068407990392</c:v>
                </c:pt>
                <c:pt idx="33">
                  <c:v>105.3932811092844</c:v>
                </c:pt>
                <c:pt idx="34">
                  <c:v>107.3901228983558</c:v>
                </c:pt>
                <c:pt idx="35">
                  <c:v>109.3970299514375</c:v>
                </c:pt>
                <c:pt idx="36">
                  <c:v>111.413667268896</c:v>
                </c:pt>
                <c:pt idx="37">
                  <c:v>113.4397011991128</c:v>
                </c:pt>
                <c:pt idx="38">
                  <c:v>115.4747995677998</c:v>
                </c:pt>
                <c:pt idx="39">
                  <c:v>117.5186318037599</c:v>
                </c:pt>
                <c:pt idx="40">
                  <c:v>119.5708690610677</c:v>
                </c:pt>
                <c:pt idx="41">
                  <c:v>121.6311843376437</c:v>
                </c:pt>
                <c:pt idx="42">
                  <c:v>123.6992525902027</c:v>
                </c:pt>
                <c:pt idx="43">
                  <c:v>125.7747508455613</c:v>
                </c:pt>
                <c:pt idx="44">
                  <c:v>127.8573583082935</c:v>
                </c:pt>
                <c:pt idx="45">
                  <c:v>129.9467564647276</c:v>
                </c:pt>
                <c:pt idx="46">
                  <c:v>132.0426291832828</c:v>
                </c:pt>
                <c:pt idx="47">
                  <c:v>134.1446628111457</c:v>
                </c:pt>
                <c:pt idx="48">
                  <c:v>136.2525462672942</c:v>
                </c:pt>
                <c:pt idx="49">
                  <c:v>138.3659711318775</c:v>
                </c:pt>
                <c:pt idx="50">
                  <c:v>140.4846317319655</c:v>
                </c:pt>
                <c:pt idx="51">
                  <c:v>142.6082252236853</c:v>
                </c:pt>
                <c:pt idx="52">
                  <c:v>144.7364516707648</c:v>
                </c:pt>
                <c:pt idx="53">
                  <c:v>146.8690141195079</c:v>
                </c:pt>
                <c:pt idx="54">
                  <c:v>149.0056186702288</c:v>
                </c:pt>
                <c:pt idx="55">
                  <c:v>151.1459745451745</c:v>
                </c:pt>
                <c:pt idx="56">
                  <c:v>153.2897941529709</c:v>
                </c:pt>
                <c:pt idx="57">
                  <c:v>155.4367931496272</c:v>
                </c:pt>
                <c:pt idx="58">
                  <c:v>157.5866904961385</c:v>
                </c:pt>
                <c:pt idx="59">
                  <c:v>159.7392085127281</c:v>
                </c:pt>
                <c:pt idx="60">
                  <c:v>161.8940729297728</c:v>
                </c:pt>
                <c:pt idx="61">
                  <c:v>164.0510129354595</c:v>
                </c:pt>
                <c:pt idx="62">
                  <c:v>166.209761220219</c:v>
                </c:pt>
                <c:pt idx="63">
                  <c:v>168.3700540179904</c:v>
                </c:pt>
                <c:pt idx="64">
                  <c:v>170.5316311443663</c:v>
                </c:pt>
                <c:pt idx="65">
                  <c:v>172.6942360316742</c:v>
                </c:pt>
                <c:pt idx="66">
                  <c:v>174.8576157610509</c:v>
                </c:pt>
                <c:pt idx="67">
                  <c:v>177.0215210915646</c:v>
                </c:pt>
                <c:pt idx="68">
                  <c:v>179.1857064864467</c:v>
                </c:pt>
                <c:pt idx="69">
                  <c:v>181.349930136491</c:v>
                </c:pt>
                <c:pt idx="70">
                  <c:v>183.5139539806826</c:v>
                </c:pt>
                <c:pt idx="71">
                  <c:v>185.6775437241183</c:v>
                </c:pt>
                <c:pt idx="72">
                  <c:v>187.8404688532819</c:v>
                </c:pt>
                <c:pt idx="73">
                  <c:v>190.0025026487373</c:v>
                </c:pt>
                <c:pt idx="74">
                  <c:v>192.1634221953051</c:v>
                </c:pt>
                <c:pt idx="75">
                  <c:v>194.3230083897874</c:v>
                </c:pt>
                <c:pt idx="76">
                  <c:v>196.4810459463044</c:v>
                </c:pt>
                <c:pt idx="77">
                  <c:v>198.6373233993124</c:v>
                </c:pt>
                <c:pt idx="78">
                  <c:v>200.791633104365</c:v>
                </c:pt>
                <c:pt idx="79">
                  <c:v>202.9437712366868</c:v>
                </c:pt>
                <c:pt idx="80">
                  <c:v>205.093537787624</c:v>
                </c:pt>
                <c:pt idx="81">
                  <c:v>207.2407365590387</c:v>
                </c:pt>
                <c:pt idx="82">
                  <c:v>209.3851751557135</c:v>
                </c:pt>
                <c:pt idx="83">
                  <c:v>211.5266649758306</c:v>
                </c:pt>
                <c:pt idx="84">
                  <c:v>213.6650211995928</c:v>
                </c:pt>
                <c:pt idx="85">
                  <c:v>215.8000627760505</c:v>
                </c:pt>
                <c:pt idx="86">
                  <c:v>217.9316124081988</c:v>
                </c:pt>
                <c:pt idx="87">
                  <c:v>220.0594965364107</c:v>
                </c:pt>
                <c:pt idx="88">
                  <c:v>222.1835453202697</c:v>
                </c:pt>
                <c:pt idx="89">
                  <c:v>224.3035926188621</c:v>
                </c:pt>
                <c:pt idx="90">
                  <c:v>226.4194759695961</c:v>
                </c:pt>
                <c:pt idx="91">
                  <c:v>228.5310365656049</c:v>
                </c:pt>
                <c:pt idx="92">
                  <c:v>230.6381192317978</c:v>
                </c:pt>
                <c:pt idx="93">
                  <c:v>232.7405723996173</c:v>
                </c:pt>
                <c:pt idx="94">
                  <c:v>234.8382480805632</c:v>
                </c:pt>
                <c:pt idx="95">
                  <c:v>236.9310018385396</c:v>
                </c:pt>
                <c:pt idx="96">
                  <c:v>239.0186927610846</c:v>
                </c:pt>
                <c:pt idx="97">
                  <c:v>241.1011834295375</c:v>
                </c:pt>
                <c:pt idx="98">
                  <c:v>243.1783398881994</c:v>
                </c:pt>
                <c:pt idx="99">
                  <c:v>245.2500316125415</c:v>
                </c:pt>
                <c:pt idx="100">
                  <c:v>247.3161314765133</c:v>
                </c:pt>
                <c:pt idx="101">
                  <c:v>249.3765157190056</c:v>
                </c:pt>
                <c:pt idx="102">
                  <c:v>251.4310639095155</c:v>
                </c:pt>
                <c:pt idx="103">
                  <c:v>253.4796589130669</c:v>
                </c:pt>
                <c:pt idx="104">
                  <c:v>255.5221868544333</c:v>
                </c:pt>
                <c:pt idx="105">
                  <c:v>257.5585370817108</c:v>
                </c:pt>
                <c:pt idx="106">
                  <c:v>259.5886021292886</c:v>
                </c:pt>
                <c:pt idx="107">
                  <c:v>261.6122776802612</c:v>
                </c:pt>
                <c:pt idx="108">
                  <c:v>263.6294625283284</c:v>
                </c:pt>
                <c:pt idx="109">
                  <c:v>265.6400585392231</c:v>
                </c:pt>
                <c:pt idx="110">
                  <c:v>267.6439706117118</c:v>
                </c:pt>
                <c:pt idx="111">
                  <c:v>269.6411066382074</c:v>
                </c:pt>
                <c:pt idx="112">
                  <c:v>271.6313774650321</c:v>
                </c:pt>
                <c:pt idx="113">
                  <c:v>273.6146968523716</c:v>
                </c:pt>
                <c:pt idx="114">
                  <c:v>275.5909814339564</c:v>
                </c:pt>
                <c:pt idx="115">
                  <c:v>277.5601506765054</c:v>
                </c:pt>
                <c:pt idx="116">
                  <c:v>279.5221268389677</c:v>
                </c:pt>
                <c:pt idx="117">
                  <c:v>281.4768349315973</c:v>
                </c:pt>
                <c:pt idx="118">
                  <c:v>283.4242026748904</c:v>
                </c:pt>
                <c:pt idx="119">
                  <c:v>285.3641604584201</c:v>
                </c:pt>
                <c:pt idx="120">
                  <c:v>287.2966412995964</c:v>
                </c:pt>
                <c:pt idx="121">
                  <c:v>289.2215808023821</c:v>
                </c:pt>
                <c:pt idx="122">
                  <c:v>291.1389171159924</c:v>
                </c:pt>
                <c:pt idx="123">
                  <c:v>293.0485908936056</c:v>
                </c:pt>
                <c:pt idx="124">
                  <c:v>294.9505452511104</c:v>
                </c:pt>
                <c:pt idx="125">
                  <c:v>296.8447257259156</c:v>
                </c:pt>
                <c:pt idx="126">
                  <c:v>298.7310802358465</c:v>
                </c:pt>
                <c:pt idx="127">
                  <c:v>300.6095590381487</c:v>
                </c:pt>
                <c:pt idx="128">
                  <c:v>302.4801146886259</c:v>
                </c:pt>
                <c:pt idx="129">
                  <c:v>304.3427020009278</c:v>
                </c:pt>
              </c:numCache>
            </c:numRef>
          </c:xVal>
          <c:yVal>
            <c:numRef>
              <c:f>GrowthCurveAdjustments!$C$2:$C$131</c:f>
              <c:numCache>
                <c:formatCode>0.00</c:formatCode>
                <c:ptCount val="130"/>
                <c:pt idx="0">
                  <c:v>1.476944457480781</c:v>
                </c:pt>
                <c:pt idx="1">
                  <c:v>1.49779077451569</c:v>
                </c:pt>
                <c:pt idx="2">
                  <c:v>1.518349694042622</c:v>
                </c:pt>
                <c:pt idx="3">
                  <c:v>1.538616758766689</c:v>
                </c:pt>
                <c:pt idx="4">
                  <c:v>1.558587713385195</c:v>
                </c:pt>
                <c:pt idx="5">
                  <c:v>1.578258504182336</c:v>
                </c:pt>
                <c:pt idx="6">
                  <c:v>1.59762527850635</c:v>
                </c:pt>
                <c:pt idx="7">
                  <c:v>1.616684384126436</c:v>
                </c:pt>
                <c:pt idx="8">
                  <c:v>1.635432368465791</c:v>
                </c:pt>
                <c:pt idx="9">
                  <c:v>1.653865977710074</c:v>
                </c:pt>
                <c:pt idx="10">
                  <c:v>1.671982155789248</c:v>
                </c:pt>
                <c:pt idx="11">
                  <c:v>1.689778043232674</c:v>
                </c:pt>
                <c:pt idx="12">
                  <c:v>1.70725097589697</c:v>
                </c:pt>
                <c:pt idx="13">
                  <c:v>1.724398483567306</c:v>
                </c:pt>
                <c:pt idx="14">
                  <c:v>1.741218288433284</c:v>
                </c:pt>
                <c:pt idx="15">
                  <c:v>1.75770830343977</c:v>
                </c:pt>
                <c:pt idx="16">
                  <c:v>1.773866630515726</c:v>
                </c:pt>
                <c:pt idx="17">
                  <c:v>1.789691558681989</c:v>
                </c:pt>
                <c:pt idx="18">
                  <c:v>1.805181562041077</c:v>
                </c:pt>
                <c:pt idx="19">
                  <c:v>1.820335297651544</c:v>
                </c:pt>
                <c:pt idx="20">
                  <c:v>1.835151603289879</c:v>
                </c:pt>
                <c:pt idx="21">
                  <c:v>1.849629495103264</c:v>
                </c:pt>
                <c:pt idx="22">
                  <c:v>1.863768165156975</c:v>
                </c:pt>
                <c:pt idx="23">
                  <c:v>1.877566978879333</c:v>
                </c:pt>
                <c:pt idx="24">
                  <c:v>1.891025472409427</c:v>
                </c:pt>
                <c:pt idx="25">
                  <c:v>1.90414334985011</c:v>
                </c:pt>
                <c:pt idx="26">
                  <c:v>1.916920480432107</c:v>
                </c:pt>
                <c:pt idx="27">
                  <c:v>1.929356895592261</c:v>
                </c:pt>
                <c:pt idx="28">
                  <c:v>1.941452785971241</c:v>
                </c:pt>
                <c:pt idx="29">
                  <c:v>1.953208498334736</c:v>
                </c:pt>
                <c:pt idx="30">
                  <c:v>1.96462453242329</c:v>
                </c:pt>
                <c:pt idx="31">
                  <c:v>1.975701537734786</c:v>
                </c:pt>
                <c:pt idx="32">
                  <c:v>1.986440310245174</c:v>
                </c:pt>
                <c:pt idx="33">
                  <c:v>1.996841789071399</c:v>
                </c:pt>
                <c:pt idx="34">
                  <c:v>2.006907053081752</c:v>
                </c:pt>
                <c:pt idx="35">
                  <c:v>2.016637317458445</c:v>
                </c:pt>
                <c:pt idx="36">
                  <c:v>2.026033930216893</c:v>
                </c:pt>
                <c:pt idx="37">
                  <c:v>2.035098368686964</c:v>
                </c:pt>
                <c:pt idx="38">
                  <c:v>2.043832235960059</c:v>
                </c:pt>
                <c:pt idx="39">
                  <c:v>2.052237257307826</c:v>
                </c:pt>
                <c:pt idx="40">
                  <c:v>2.060315276576</c:v>
                </c:pt>
                <c:pt idx="41">
                  <c:v>2.068068252559002</c:v>
                </c:pt>
                <c:pt idx="42">
                  <c:v>2.07549825535862</c:v>
                </c:pt>
                <c:pt idx="43">
                  <c:v>2.082607462732144</c:v>
                </c:pt>
                <c:pt idx="44">
                  <c:v>2.089398156434138</c:v>
                </c:pt>
                <c:pt idx="45">
                  <c:v>2.095872718555201</c:v>
                </c:pt>
                <c:pt idx="46">
                  <c:v>2.102033627862859</c:v>
                </c:pt>
                <c:pt idx="47">
                  <c:v>2.107883456148537</c:v>
                </c:pt>
                <c:pt idx="48">
                  <c:v>2.113424864583336</c:v>
                </c:pt>
                <c:pt idx="49">
                  <c:v>2.118660600088027</c:v>
                </c:pt>
                <c:pt idx="50">
                  <c:v>2.123593491719769</c:v>
                </c:pt>
                <c:pt idx="51">
                  <c:v>2.128226447079445</c:v>
                </c:pt>
                <c:pt idx="52">
                  <c:v>2.132562448743144</c:v>
                </c:pt>
                <c:pt idx="53">
                  <c:v>2.136604550720872</c:v>
                </c:pt>
                <c:pt idx="54">
                  <c:v>2.140355874945671</c:v>
                </c:pt>
                <c:pt idx="55">
                  <c:v>2.143819607796404</c:v>
                </c:pt>
                <c:pt idx="56">
                  <c:v>2.146998996656308</c:v>
                </c:pt>
                <c:pt idx="57">
                  <c:v>2.149897346511344</c:v>
                </c:pt>
                <c:pt idx="58">
                  <c:v>2.15251801658953</c:v>
                </c:pt>
                <c:pt idx="59">
                  <c:v>2.154864417044742</c:v>
                </c:pt>
                <c:pt idx="60">
                  <c:v>2.156940005686682</c:v>
                </c:pt>
                <c:pt idx="61">
                  <c:v>2.158748284759536</c:v>
                </c:pt>
                <c:pt idx="62">
                  <c:v>2.160292797771391</c:v>
                </c:pt>
                <c:pt idx="63">
                  <c:v>2.161577126375831</c:v>
                </c:pt>
                <c:pt idx="64">
                  <c:v>2.162604887307948</c:v>
                </c:pt>
                <c:pt idx="65">
                  <c:v>2.163379729376704</c:v>
                </c:pt>
                <c:pt idx="66">
                  <c:v>2.163905330513697</c:v>
                </c:pt>
                <c:pt idx="67">
                  <c:v>2.164185394882113</c:v>
                </c:pt>
                <c:pt idx="68">
                  <c:v>2.164223650044309</c:v>
                </c:pt>
                <c:pt idx="69">
                  <c:v>2.164023844191602</c:v>
                </c:pt>
                <c:pt idx="70">
                  <c:v>2.16358974343573</c:v>
                </c:pt>
                <c:pt idx="71">
                  <c:v>2.162925129163577</c:v>
                </c:pt>
                <c:pt idx="72">
                  <c:v>2.162033795455384</c:v>
                </c:pt>
                <c:pt idx="73">
                  <c:v>2.160919546567856</c:v>
                </c:pt>
                <c:pt idx="74">
                  <c:v>2.159586194482215</c:v>
                </c:pt>
                <c:pt idx="75">
                  <c:v>2.158037556517056</c:v>
                </c:pt>
                <c:pt idx="76">
                  <c:v>2.156277453007969</c:v>
                </c:pt>
                <c:pt idx="77">
                  <c:v>2.154309705052625</c:v>
                </c:pt>
                <c:pt idx="78">
                  <c:v>2.152138132321804</c:v>
                </c:pt>
                <c:pt idx="79">
                  <c:v>2.149766550937125</c:v>
                </c:pt>
                <c:pt idx="80">
                  <c:v>2.147198771414678</c:v>
                </c:pt>
                <c:pt idx="81">
                  <c:v>2.144438596674789</c:v>
                </c:pt>
                <c:pt idx="82">
                  <c:v>2.141489820117134</c:v>
                </c:pt>
                <c:pt idx="83">
                  <c:v>2.138356223762301</c:v>
                </c:pt>
                <c:pt idx="84">
                  <c:v>2.135041576457651</c:v>
                </c:pt>
                <c:pt idx="85">
                  <c:v>2.131549632148244</c:v>
                </c:pt>
                <c:pt idx="86">
                  <c:v>2.127884128211968</c:v>
                </c:pt>
                <c:pt idx="87">
                  <c:v>2.124048783858948</c:v>
                </c:pt>
                <c:pt idx="88">
                  <c:v>2.120047298592473</c:v>
                </c:pt>
                <c:pt idx="89">
                  <c:v>2.115883350733951</c:v>
                </c:pt>
                <c:pt idx="90">
                  <c:v>2.111560596008782</c:v>
                </c:pt>
                <c:pt idx="91">
                  <c:v>2.10708266619288</c:v>
                </c:pt>
                <c:pt idx="92">
                  <c:v>2.102453167819607</c:v>
                </c:pt>
                <c:pt idx="93">
                  <c:v>2.097675680945911</c:v>
                </c:pt>
                <c:pt idx="94">
                  <c:v>2.092753757976348</c:v>
                </c:pt>
                <c:pt idx="95">
                  <c:v>2.087690922544963</c:v>
                </c:pt>
                <c:pt idx="96">
                  <c:v>2.082490668452878</c:v>
                </c:pt>
                <c:pt idx="97">
                  <c:v>2.077156458661972</c:v>
                </c:pt>
                <c:pt idx="98">
                  <c:v>2.071691724342045</c:v>
                </c:pt>
                <c:pt idx="99">
                  <c:v>2.066099863971853</c:v>
                </c:pt>
                <c:pt idx="100">
                  <c:v>2.06038424249227</c:v>
                </c:pt>
                <c:pt idx="101">
                  <c:v>2.054548190509868</c:v>
                </c:pt>
                <c:pt idx="102">
                  <c:v>2.04859500355146</c:v>
                </c:pt>
                <c:pt idx="103">
                  <c:v>2.042527941366422</c:v>
                </c:pt>
                <c:pt idx="104">
                  <c:v>2.036350227277511</c:v>
                </c:pt>
                <c:pt idx="105">
                  <c:v>2.030065047577739</c:v>
                </c:pt>
                <c:pt idx="106">
                  <c:v>2.023675550972696</c:v>
                </c:pt>
                <c:pt idx="107">
                  <c:v>2.01718484806714</c:v>
                </c:pt>
                <c:pt idx="108">
                  <c:v>2.01059601089464</c:v>
                </c:pt>
                <c:pt idx="109">
                  <c:v>2.003912072488791</c:v>
                </c:pt>
                <c:pt idx="110">
                  <c:v>1.997136026495516</c:v>
                </c:pt>
                <c:pt idx="111">
                  <c:v>1.990270826824658</c:v>
                </c:pt>
                <c:pt idx="112">
                  <c:v>1.983319387339586</c:v>
                </c:pt>
                <c:pt idx="113">
                  <c:v>1.976284581584822</c:v>
                </c:pt>
                <c:pt idx="114">
                  <c:v>1.969169242548911</c:v>
                </c:pt>
                <c:pt idx="115">
                  <c:v>1.961976162462355</c:v>
                </c:pt>
                <c:pt idx="116">
                  <c:v>1.954708092629541</c:v>
                </c:pt>
                <c:pt idx="117">
                  <c:v>1.947367743293121</c:v>
                </c:pt>
                <c:pt idx="118">
                  <c:v>1.939957783529706</c:v>
                </c:pt>
                <c:pt idx="119">
                  <c:v>1.932480841176309</c:v>
                </c:pt>
                <c:pt idx="120">
                  <c:v>1.92493950278567</c:v>
                </c:pt>
                <c:pt idx="121">
                  <c:v>1.917336313610318</c:v>
                </c:pt>
                <c:pt idx="122">
                  <c:v>1.909673777613201</c:v>
                </c:pt>
                <c:pt idx="123">
                  <c:v>1.901954357504808</c:v>
                </c:pt>
                <c:pt idx="124">
                  <c:v>1.894180474805305</c:v>
                </c:pt>
                <c:pt idx="125">
                  <c:v>1.886354509930791</c:v>
                </c:pt>
                <c:pt idx="126">
                  <c:v>1.878478802302238</c:v>
                </c:pt>
                <c:pt idx="127">
                  <c:v>1.870555650477208</c:v>
                </c:pt>
                <c:pt idx="128">
                  <c:v>1.862587312301885</c:v>
                </c:pt>
                <c:pt idx="129">
                  <c:v>1.854576005084161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F8D-4A71-8051-44274A3A4501}"/>
            </c:ext>
          </c:extLst>
        </c:ser>
        <c:ser>
          <c:idx val="1"/>
          <c:order val="1"/>
          <c:tx>
            <c:strRef>
              <c:f>GrowthCurveAdjustments!$D$1</c:f>
              <c:strCache>
                <c:ptCount val="1"/>
                <c:pt idx="0">
                  <c:v>F/G</c:v>
                </c:pt>
              </c:strCache>
            </c:strRef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25400">
                <a:noFill/>
              </a:ln>
              <a:effectLst/>
            </c:spPr>
          </c:marker>
          <c:xVal>
            <c:numRef>
              <c:f>GrowthCurveAdjustments!$B$2:$B$131</c:f>
              <c:numCache>
                <c:formatCode>0.0</c:formatCode>
                <c:ptCount val="130"/>
                <c:pt idx="0">
                  <c:v>47.35072379343023</c:v>
                </c:pt>
                <c:pt idx="1">
                  <c:v>48.827668250911</c:v>
                </c:pt>
                <c:pt idx="2">
                  <c:v>50.3254590254267</c:v>
                </c:pt>
                <c:pt idx="3">
                  <c:v>51.84380871946932</c:v>
                </c:pt>
                <c:pt idx="4">
                  <c:v>53.38242547823602</c:v>
                </c:pt>
                <c:pt idx="5">
                  <c:v>54.94101319162121</c:v>
                </c:pt>
                <c:pt idx="6">
                  <c:v>56.51927169580354</c:v>
                </c:pt>
                <c:pt idx="7">
                  <c:v>58.11689697430989</c:v>
                </c:pt>
                <c:pt idx="8">
                  <c:v>59.73358135843633</c:v>
                </c:pt>
                <c:pt idx="9">
                  <c:v>61.36901372690212</c:v>
                </c:pt>
                <c:pt idx="10">
                  <c:v>63.02287970461219</c:v>
                </c:pt>
                <c:pt idx="11">
                  <c:v>64.69486186040145</c:v>
                </c:pt>
                <c:pt idx="12">
                  <c:v>66.38463990363411</c:v>
                </c:pt>
                <c:pt idx="13">
                  <c:v>68.09189087953108</c:v>
                </c:pt>
                <c:pt idx="14">
                  <c:v>69.81628936309837</c:v>
                </c:pt>
                <c:pt idx="15">
                  <c:v>71.55750765153167</c:v>
                </c:pt>
                <c:pt idx="16">
                  <c:v>73.31521595497144</c:v>
                </c:pt>
                <c:pt idx="17">
                  <c:v>75.08908258548718</c:v>
                </c:pt>
                <c:pt idx="18">
                  <c:v>76.87877414416917</c:v>
                </c:pt>
                <c:pt idx="19">
                  <c:v>78.68395570621024</c:v>
                </c:pt>
                <c:pt idx="20">
                  <c:v>80.50429100386178</c:v>
                </c:pt>
                <c:pt idx="21">
                  <c:v>82.33944260715167</c:v>
                </c:pt>
                <c:pt idx="22">
                  <c:v>84.18907210225493</c:v>
                </c:pt>
                <c:pt idx="23">
                  <c:v>86.05284026741191</c:v>
                </c:pt>
                <c:pt idx="24">
                  <c:v>87.93040724629122</c:v>
                </c:pt>
                <c:pt idx="25">
                  <c:v>89.82143271870066</c:v>
                </c:pt>
                <c:pt idx="26">
                  <c:v>91.72557606855077</c:v>
                </c:pt>
                <c:pt idx="27">
                  <c:v>93.64249654898288</c:v>
                </c:pt>
                <c:pt idx="28">
                  <c:v>95.57185344457514</c:v>
                </c:pt>
                <c:pt idx="29">
                  <c:v>97.51330623054636</c:v>
                </c:pt>
                <c:pt idx="30">
                  <c:v>99.46651472888112</c:v>
                </c:pt>
                <c:pt idx="31">
                  <c:v>101.4311392613044</c:v>
                </c:pt>
                <c:pt idx="32">
                  <c:v>103.4068407990392</c:v>
                </c:pt>
                <c:pt idx="33">
                  <c:v>105.3932811092844</c:v>
                </c:pt>
                <c:pt idx="34">
                  <c:v>107.3901228983558</c:v>
                </c:pt>
                <c:pt idx="35">
                  <c:v>109.3970299514375</c:v>
                </c:pt>
                <c:pt idx="36">
                  <c:v>111.413667268896</c:v>
                </c:pt>
                <c:pt idx="37">
                  <c:v>113.4397011991128</c:v>
                </c:pt>
                <c:pt idx="38">
                  <c:v>115.4747995677998</c:v>
                </c:pt>
                <c:pt idx="39">
                  <c:v>117.5186318037599</c:v>
                </c:pt>
                <c:pt idx="40">
                  <c:v>119.5708690610677</c:v>
                </c:pt>
                <c:pt idx="41">
                  <c:v>121.6311843376437</c:v>
                </c:pt>
                <c:pt idx="42">
                  <c:v>123.6992525902027</c:v>
                </c:pt>
                <c:pt idx="43">
                  <c:v>125.7747508455613</c:v>
                </c:pt>
                <c:pt idx="44">
                  <c:v>127.8573583082935</c:v>
                </c:pt>
                <c:pt idx="45">
                  <c:v>129.9467564647276</c:v>
                </c:pt>
                <c:pt idx="46">
                  <c:v>132.0426291832828</c:v>
                </c:pt>
                <c:pt idx="47">
                  <c:v>134.1446628111457</c:v>
                </c:pt>
                <c:pt idx="48">
                  <c:v>136.2525462672942</c:v>
                </c:pt>
                <c:pt idx="49">
                  <c:v>138.3659711318775</c:v>
                </c:pt>
                <c:pt idx="50">
                  <c:v>140.4846317319655</c:v>
                </c:pt>
                <c:pt idx="51">
                  <c:v>142.6082252236853</c:v>
                </c:pt>
                <c:pt idx="52">
                  <c:v>144.7364516707648</c:v>
                </c:pt>
                <c:pt idx="53">
                  <c:v>146.8690141195079</c:v>
                </c:pt>
                <c:pt idx="54">
                  <c:v>149.0056186702288</c:v>
                </c:pt>
                <c:pt idx="55">
                  <c:v>151.1459745451745</c:v>
                </c:pt>
                <c:pt idx="56">
                  <c:v>153.2897941529709</c:v>
                </c:pt>
                <c:pt idx="57">
                  <c:v>155.4367931496272</c:v>
                </c:pt>
                <c:pt idx="58">
                  <c:v>157.5866904961385</c:v>
                </c:pt>
                <c:pt idx="59">
                  <c:v>159.7392085127281</c:v>
                </c:pt>
                <c:pt idx="60">
                  <c:v>161.8940729297728</c:v>
                </c:pt>
                <c:pt idx="61">
                  <c:v>164.0510129354595</c:v>
                </c:pt>
                <c:pt idx="62">
                  <c:v>166.209761220219</c:v>
                </c:pt>
                <c:pt idx="63">
                  <c:v>168.3700540179904</c:v>
                </c:pt>
                <c:pt idx="64">
                  <c:v>170.5316311443663</c:v>
                </c:pt>
                <c:pt idx="65">
                  <c:v>172.6942360316742</c:v>
                </c:pt>
                <c:pt idx="66">
                  <c:v>174.8576157610509</c:v>
                </c:pt>
                <c:pt idx="67">
                  <c:v>177.0215210915646</c:v>
                </c:pt>
                <c:pt idx="68">
                  <c:v>179.1857064864467</c:v>
                </c:pt>
                <c:pt idx="69">
                  <c:v>181.349930136491</c:v>
                </c:pt>
                <c:pt idx="70">
                  <c:v>183.5139539806826</c:v>
                </c:pt>
                <c:pt idx="71">
                  <c:v>185.6775437241183</c:v>
                </c:pt>
                <c:pt idx="72">
                  <c:v>187.8404688532819</c:v>
                </c:pt>
                <c:pt idx="73">
                  <c:v>190.0025026487373</c:v>
                </c:pt>
                <c:pt idx="74">
                  <c:v>192.1634221953051</c:v>
                </c:pt>
                <c:pt idx="75">
                  <c:v>194.3230083897874</c:v>
                </c:pt>
                <c:pt idx="76">
                  <c:v>196.4810459463044</c:v>
                </c:pt>
                <c:pt idx="77">
                  <c:v>198.6373233993124</c:v>
                </c:pt>
                <c:pt idx="78">
                  <c:v>200.791633104365</c:v>
                </c:pt>
                <c:pt idx="79">
                  <c:v>202.9437712366868</c:v>
                </c:pt>
                <c:pt idx="80">
                  <c:v>205.093537787624</c:v>
                </c:pt>
                <c:pt idx="81">
                  <c:v>207.2407365590387</c:v>
                </c:pt>
                <c:pt idx="82">
                  <c:v>209.3851751557135</c:v>
                </c:pt>
                <c:pt idx="83">
                  <c:v>211.5266649758306</c:v>
                </c:pt>
                <c:pt idx="84">
                  <c:v>213.6650211995928</c:v>
                </c:pt>
                <c:pt idx="85">
                  <c:v>215.8000627760505</c:v>
                </c:pt>
                <c:pt idx="86">
                  <c:v>217.9316124081988</c:v>
                </c:pt>
                <c:pt idx="87">
                  <c:v>220.0594965364107</c:v>
                </c:pt>
                <c:pt idx="88">
                  <c:v>222.1835453202697</c:v>
                </c:pt>
                <c:pt idx="89">
                  <c:v>224.3035926188621</c:v>
                </c:pt>
                <c:pt idx="90">
                  <c:v>226.4194759695961</c:v>
                </c:pt>
                <c:pt idx="91">
                  <c:v>228.5310365656049</c:v>
                </c:pt>
                <c:pt idx="92">
                  <c:v>230.6381192317978</c:v>
                </c:pt>
                <c:pt idx="93">
                  <c:v>232.7405723996173</c:v>
                </c:pt>
                <c:pt idx="94">
                  <c:v>234.8382480805632</c:v>
                </c:pt>
                <c:pt idx="95">
                  <c:v>236.9310018385396</c:v>
                </c:pt>
                <c:pt idx="96">
                  <c:v>239.0186927610846</c:v>
                </c:pt>
                <c:pt idx="97">
                  <c:v>241.1011834295375</c:v>
                </c:pt>
                <c:pt idx="98">
                  <c:v>243.1783398881994</c:v>
                </c:pt>
                <c:pt idx="99">
                  <c:v>245.2500316125415</c:v>
                </c:pt>
                <c:pt idx="100">
                  <c:v>247.3161314765133</c:v>
                </c:pt>
                <c:pt idx="101">
                  <c:v>249.3765157190056</c:v>
                </c:pt>
                <c:pt idx="102">
                  <c:v>251.4310639095155</c:v>
                </c:pt>
                <c:pt idx="103">
                  <c:v>253.4796589130669</c:v>
                </c:pt>
                <c:pt idx="104">
                  <c:v>255.5221868544333</c:v>
                </c:pt>
                <c:pt idx="105">
                  <c:v>257.5585370817108</c:v>
                </c:pt>
                <c:pt idx="106">
                  <c:v>259.5886021292886</c:v>
                </c:pt>
                <c:pt idx="107">
                  <c:v>261.6122776802612</c:v>
                </c:pt>
                <c:pt idx="108">
                  <c:v>263.6294625283284</c:v>
                </c:pt>
                <c:pt idx="109">
                  <c:v>265.6400585392231</c:v>
                </c:pt>
                <c:pt idx="110">
                  <c:v>267.6439706117118</c:v>
                </c:pt>
                <c:pt idx="111">
                  <c:v>269.6411066382074</c:v>
                </c:pt>
                <c:pt idx="112">
                  <c:v>271.6313774650321</c:v>
                </c:pt>
                <c:pt idx="113">
                  <c:v>273.6146968523716</c:v>
                </c:pt>
                <c:pt idx="114">
                  <c:v>275.5909814339564</c:v>
                </c:pt>
                <c:pt idx="115">
                  <c:v>277.5601506765054</c:v>
                </c:pt>
                <c:pt idx="116">
                  <c:v>279.5221268389677</c:v>
                </c:pt>
                <c:pt idx="117">
                  <c:v>281.4768349315973</c:v>
                </c:pt>
                <c:pt idx="118">
                  <c:v>283.4242026748904</c:v>
                </c:pt>
                <c:pt idx="119">
                  <c:v>285.3641604584201</c:v>
                </c:pt>
                <c:pt idx="120">
                  <c:v>287.2966412995964</c:v>
                </c:pt>
                <c:pt idx="121">
                  <c:v>289.2215808023821</c:v>
                </c:pt>
                <c:pt idx="122">
                  <c:v>291.1389171159924</c:v>
                </c:pt>
                <c:pt idx="123">
                  <c:v>293.0485908936056</c:v>
                </c:pt>
                <c:pt idx="124">
                  <c:v>294.9505452511104</c:v>
                </c:pt>
                <c:pt idx="125">
                  <c:v>296.8447257259156</c:v>
                </c:pt>
                <c:pt idx="126">
                  <c:v>298.7310802358465</c:v>
                </c:pt>
                <c:pt idx="127">
                  <c:v>300.6095590381487</c:v>
                </c:pt>
                <c:pt idx="128">
                  <c:v>302.4801146886259</c:v>
                </c:pt>
                <c:pt idx="129">
                  <c:v>304.3427020009278</c:v>
                </c:pt>
              </c:numCache>
            </c:numRef>
          </c:xVal>
          <c:yVal>
            <c:numRef>
              <c:f>GrowthCurveAdjustments!$D$2:$D$131</c:f>
              <c:numCache>
                <c:formatCode>0.00</c:formatCode>
                <c:ptCount val="130"/>
                <c:pt idx="0">
                  <c:v>1.543474307627505</c:v>
                </c:pt>
                <c:pt idx="1">
                  <c:v>1.56466021049609</c:v>
                </c:pt>
                <c:pt idx="2">
                  <c:v>1.585766554134026</c:v>
                </c:pt>
                <c:pt idx="3">
                  <c:v>1.606784802565917</c:v>
                </c:pt>
                <c:pt idx="4">
                  <c:v>1.627706835053733</c:v>
                </c:pt>
                <c:pt idx="5">
                  <c:v>1.648524942805518</c:v>
                </c:pt>
                <c:pt idx="6">
                  <c:v>1.669231826313294</c:v>
                </c:pt>
                <c:pt idx="7">
                  <c:v>1.689820593139054</c:v>
                </c:pt>
                <c:pt idx="8">
                  <c:v>1.71028475599108</c:v>
                </c:pt>
                <c:pt idx="9">
                  <c:v>1.730618230949618</c:v>
                </c:pt>
                <c:pt idx="10">
                  <c:v>1.750815335720587</c:v>
                </c:pt>
                <c:pt idx="11">
                  <c:v>1.770870787810262</c:v>
                </c:pt>
                <c:pt idx="12">
                  <c:v>1.790779702529486</c:v>
                </c:pt>
                <c:pt idx="13">
                  <c:v>1.81053759074821</c:v>
                </c:pt>
                <c:pt idx="14">
                  <c:v>1.830140356333474</c:v>
                </c:pt>
                <c:pt idx="15">
                  <c:v>1.849584293216195</c:v>
                </c:pt>
                <c:pt idx="16">
                  <c:v>1.868866082039996</c:v>
                </c:pt>
                <c:pt idx="17">
                  <c:v>1.887982786357321</c:v>
                </c:pt>
                <c:pt idx="18">
                  <c:v>1.906931848344783</c:v>
                </c:pt>
                <c:pt idx="19">
                  <c:v>1.925711084018689</c:v>
                </c:pt>
                <c:pt idx="20">
                  <c:v>1.944318677938597</c:v>
                </c:pt>
                <c:pt idx="21">
                  <c:v>1.962753177393576</c:v>
                </c:pt>
                <c:pt idx="22">
                  <c:v>1.981013486071484</c:v>
                </c:pt>
                <c:pt idx="23">
                  <c:v>1.999098857218458</c:v>
                </c:pt>
                <c:pt idx="24">
                  <c:v>2.017008886298351</c:v>
                </c:pt>
                <c:pt idx="25">
                  <c:v>2.034743503169603</c:v>
                </c:pt>
                <c:pt idx="26">
                  <c:v>2.052302963797417</c:v>
                </c:pt>
                <c:pt idx="27">
                  <c:v>2.069687841525965</c:v>
                </c:pt>
                <c:pt idx="28">
                  <c:v>2.086899017935916</c:v>
                </c:pt>
                <c:pt idx="29">
                  <c:v>2.103937673316773</c:v>
                </c:pt>
                <c:pt idx="30">
                  <c:v>2.12080527678456</c:v>
                </c:pt>
                <c:pt idx="31">
                  <c:v>2.137503576078495</c:v>
                </c:pt>
                <c:pt idx="32">
                  <c:v>2.154034587070079</c:v>
                </c:pt>
                <c:pt idx="33">
                  <c:v>2.170400583020883</c:v>
                </c:pt>
                <c:pt idx="34">
                  <c:v>2.186604083624661</c:v>
                </c:pt>
                <c:pt idx="35">
                  <c:v>2.202647843870403</c:v>
                </c:pt>
                <c:pt idx="36">
                  <c:v>2.218534842763204</c:v>
                </c:pt>
                <c:pt idx="37">
                  <c:v>2.234268271939011</c:v>
                </c:pt>
                <c:pt idx="38">
                  <c:v>2.249851524210182</c:v>
                </c:pt>
                <c:pt idx="39">
                  <c:v>2.265288182076102</c:v>
                </c:pt>
                <c:pt idx="40">
                  <c:v>2.280582006234662</c:v>
                </c:pt>
                <c:pt idx="41">
                  <c:v>2.295736924126912</c:v>
                </c:pt>
                <c:pt idx="42">
                  <c:v>2.31075701854852</c:v>
                </c:pt>
                <c:pt idx="43">
                  <c:v>2.325646516357789</c:v>
                </c:pt>
                <c:pt idx="44">
                  <c:v>2.340409777309912</c:v>
                </c:pt>
                <c:pt idx="45">
                  <c:v>2.355051283046154</c:v>
                </c:pt>
                <c:pt idx="46">
                  <c:v>2.369575626262967</c:v>
                </c:pt>
                <c:pt idx="47">
                  <c:v>2.383987500085448</c:v>
                </c:pt>
                <c:pt idx="48">
                  <c:v>2.398291687668943</c:v>
                </c:pt>
                <c:pt idx="49">
                  <c:v>2.412493052047647</c:v>
                </c:pt>
                <c:pt idx="50">
                  <c:v>2.426596526250224</c:v>
                </c:pt>
                <c:pt idx="51">
                  <c:v>2.44060710369896</c:v>
                </c:pt>
                <c:pt idx="52">
                  <c:v>2.454529828907267</c:v>
                </c:pt>
                <c:pt idx="53">
                  <c:v>2.468369788488874</c:v>
                </c:pt>
                <c:pt idx="54">
                  <c:v>2.48213210249001</c:v>
                </c:pt>
                <c:pt idx="55">
                  <c:v>2.495821916053682</c:v>
                </c:pt>
                <c:pt idx="56">
                  <c:v>2.509444391424797</c:v>
                </c:pt>
                <c:pt idx="57">
                  <c:v>2.52300470030059</c:v>
                </c:pt>
                <c:pt idx="58">
                  <c:v>2.536508016532509</c:v>
                </c:pt>
                <c:pt idx="59">
                  <c:v>2.549959509181199</c:v>
                </c:pt>
                <c:pt idx="60">
                  <c:v>2.563364335926773</c:v>
                </c:pt>
                <c:pt idx="61">
                  <c:v>2.576727636833925</c:v>
                </c:pt>
                <c:pt idx="62">
                  <c:v>2.590054528470652</c:v>
                </c:pt>
                <c:pt idx="63">
                  <c:v>2.603350098378571</c:v>
                </c:pt>
                <c:pt idx="64">
                  <c:v>2.616619399890692</c:v>
                </c:pt>
                <c:pt idx="65">
                  <c:v>2.629867447291556</c:v>
                </c:pt>
                <c:pt idx="66">
                  <c:v>2.643099211315857</c:v>
                </c:pt>
                <c:pt idx="67">
                  <c:v>2.656319614976084</c:v>
                </c:pt>
                <c:pt idx="68">
                  <c:v>2.669533529715308</c:v>
                </c:pt>
                <c:pt idx="69">
                  <c:v>2.682745771874076</c:v>
                </c:pt>
                <c:pt idx="70">
                  <c:v>2.69596109946468</c:v>
                </c:pt>
                <c:pt idx="71">
                  <c:v>2.709184209242731</c:v>
                </c:pt>
                <c:pt idx="72">
                  <c:v>2.722419734067109</c:v>
                </c:pt>
                <c:pt idx="73">
                  <c:v>2.735672240537275</c:v>
                </c:pt>
                <c:pt idx="74">
                  <c:v>2.748946226898281</c:v>
                </c:pt>
                <c:pt idx="75">
                  <c:v>2.762246121203518</c:v>
                </c:pt>
                <c:pt idx="76">
                  <c:v>2.775576279722494</c:v>
                </c:pt>
                <c:pt idx="77">
                  <c:v>2.788940985584553</c:v>
                </c:pt>
                <c:pt idx="78">
                  <c:v>2.802344447647221</c:v>
                </c:pt>
                <c:pt idx="79">
                  <c:v>2.815790799577224</c:v>
                </c:pt>
                <c:pt idx="80">
                  <c:v>2.829284099134128</c:v>
                </c:pt>
                <c:pt idx="81">
                  <c:v>2.842828327645367</c:v>
                </c:pt>
                <c:pt idx="82">
                  <c:v>2.85642738966249</c:v>
                </c:pt>
                <c:pt idx="83">
                  <c:v>2.870085112786227</c:v>
                </c:pt>
                <c:pt idx="84">
                  <c:v>2.883805247652291</c:v>
                </c:pt>
                <c:pt idx="85">
                  <c:v>2.897591468065995</c:v>
                </c:pt>
                <c:pt idx="86">
                  <c:v>2.911447371276294</c:v>
                </c:pt>
                <c:pt idx="87">
                  <c:v>2.925376478378445</c:v>
                </c:pt>
                <c:pt idx="88">
                  <c:v>2.939382234838915</c:v>
                </c:pt>
                <c:pt idx="89">
                  <c:v>2.953468011128839</c:v>
                </c:pt>
                <c:pt idx="90">
                  <c:v>2.967637103460488</c:v>
                </c:pt>
                <c:pt idx="91">
                  <c:v>2.981892734617529</c:v>
                </c:pt>
                <c:pt idx="92">
                  <c:v>2.996238054869865</c:v>
                </c:pt>
                <c:pt idx="93">
                  <c:v>3.010676142965895</c:v>
                </c:pt>
                <c:pt idx="94">
                  <c:v>3.025210007194903</c:v>
                </c:pt>
                <c:pt idx="95">
                  <c:v>3.039842586511351</c:v>
                </c:pt>
                <c:pt idx="96">
                  <c:v>3.054576751715625</c:v>
                </c:pt>
                <c:pt idx="97">
                  <c:v>3.069415306682857</c:v>
                </c:pt>
                <c:pt idx="98">
                  <c:v>3.084360989635877</c:v>
                </c:pt>
                <c:pt idx="99">
                  <c:v>3.099416474454173</c:v>
                </c:pt>
                <c:pt idx="100">
                  <c:v>3.114584372014503</c:v>
                </c:pt>
                <c:pt idx="101">
                  <c:v>3.129867231558683</c:v>
                </c:pt>
                <c:pt idx="102">
                  <c:v>3.145267542081186</c:v>
                </c:pt>
                <c:pt idx="103">
                  <c:v>3.160787733735142</c:v>
                </c:pt>
                <c:pt idx="104">
                  <c:v>3.176430179249469</c:v>
                </c:pt>
                <c:pt idx="105">
                  <c:v>3.192197195355172</c:v>
                </c:pt>
                <c:pt idx="106">
                  <c:v>3.208091044216262</c:v>
                </c:pt>
                <c:pt idx="107">
                  <c:v>3.224113934861724</c:v>
                </c:pt>
                <c:pt idx="108">
                  <c:v>3.24026802461558</c:v>
                </c:pt>
                <c:pt idx="109">
                  <c:v>3.256555420522378</c:v>
                </c:pt>
                <c:pt idx="110">
                  <c:v>3.2729781807645</c:v>
                </c:pt>
                <c:pt idx="111">
                  <c:v>3.28953831606968</c:v>
                </c:pt>
                <c:pt idx="112">
                  <c:v>3.306237791106659</c:v>
                </c:pt>
                <c:pt idx="113">
                  <c:v>3.323078525865071</c:v>
                </c:pt>
                <c:pt idx="114">
                  <c:v>3.340062397020313</c:v>
                </c:pt>
                <c:pt idx="115">
                  <c:v>3.357191239280122</c:v>
                </c:pt>
                <c:pt idx="116">
                  <c:v>3.374466846711262</c:v>
                </c:pt>
                <c:pt idx="117">
                  <c:v>3.391890974045682</c:v>
                </c:pt>
                <c:pt idx="118">
                  <c:v>3.409465337965017</c:v>
                </c:pt>
                <c:pt idx="119">
                  <c:v>3.427191618361421</c:v>
                </c:pt>
                <c:pt idx="120">
                  <c:v>3.445071459575283</c:v>
                </c:pt>
                <c:pt idx="121">
                  <c:v>3.46310647160735</c:v>
                </c:pt>
                <c:pt idx="122">
                  <c:v>3.481298231306599</c:v>
                </c:pt>
                <c:pt idx="123">
                  <c:v>3.499648283531656</c:v>
                </c:pt>
                <c:pt idx="124">
                  <c:v>3.518158142286056</c:v>
                </c:pt>
                <c:pt idx="125">
                  <c:v>3.536829291826859</c:v>
                </c:pt>
                <c:pt idx="126">
                  <c:v>3.555663187747222</c:v>
                </c:pt>
                <c:pt idx="127">
                  <c:v>3.574661258030692</c:v>
                </c:pt>
                <c:pt idx="128">
                  <c:v>3.593824904080138</c:v>
                </c:pt>
                <c:pt idx="129">
                  <c:v>3.613155501717931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F8D-4A71-8051-44274A3A4501}"/>
            </c:ext>
          </c:extLst>
        </c:ser>
        <c:ser>
          <c:idx val="2"/>
          <c:order val="2"/>
          <c:tx>
            <c:strRef>
              <c:f>GrowthCurveAdjustments!$E$1</c:f>
              <c:strCache>
                <c:ptCount val="1"/>
                <c:pt idx="0">
                  <c:v>Adj. ADG, lb</c:v>
                </c:pt>
              </c:strCache>
            </c:strRef>
          </c:tx>
          <c:spPr>
            <a:ln w="25400" cap="rnd">
              <a:solidFill>
                <a:schemeClr val="accent5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noFill/>
              <a:ln w="25400">
                <a:noFill/>
              </a:ln>
              <a:effectLst/>
            </c:spPr>
          </c:marker>
          <c:xVal>
            <c:numRef>
              <c:f>GrowthCurveAdjustments!$B$2:$B$131</c:f>
              <c:numCache>
                <c:formatCode>0.0</c:formatCode>
                <c:ptCount val="130"/>
                <c:pt idx="0">
                  <c:v>47.35072379343023</c:v>
                </c:pt>
                <c:pt idx="1">
                  <c:v>48.827668250911</c:v>
                </c:pt>
                <c:pt idx="2">
                  <c:v>50.3254590254267</c:v>
                </c:pt>
                <c:pt idx="3">
                  <c:v>51.84380871946932</c:v>
                </c:pt>
                <c:pt idx="4">
                  <c:v>53.38242547823602</c:v>
                </c:pt>
                <c:pt idx="5">
                  <c:v>54.94101319162121</c:v>
                </c:pt>
                <c:pt idx="6">
                  <c:v>56.51927169580354</c:v>
                </c:pt>
                <c:pt idx="7">
                  <c:v>58.11689697430989</c:v>
                </c:pt>
                <c:pt idx="8">
                  <c:v>59.73358135843633</c:v>
                </c:pt>
                <c:pt idx="9">
                  <c:v>61.36901372690212</c:v>
                </c:pt>
                <c:pt idx="10">
                  <c:v>63.02287970461219</c:v>
                </c:pt>
                <c:pt idx="11">
                  <c:v>64.69486186040145</c:v>
                </c:pt>
                <c:pt idx="12">
                  <c:v>66.38463990363411</c:v>
                </c:pt>
                <c:pt idx="13">
                  <c:v>68.09189087953108</c:v>
                </c:pt>
                <c:pt idx="14">
                  <c:v>69.81628936309837</c:v>
                </c:pt>
                <c:pt idx="15">
                  <c:v>71.55750765153167</c:v>
                </c:pt>
                <c:pt idx="16">
                  <c:v>73.31521595497144</c:v>
                </c:pt>
                <c:pt idx="17">
                  <c:v>75.08908258548718</c:v>
                </c:pt>
                <c:pt idx="18">
                  <c:v>76.87877414416917</c:v>
                </c:pt>
                <c:pt idx="19">
                  <c:v>78.68395570621024</c:v>
                </c:pt>
                <c:pt idx="20">
                  <c:v>80.50429100386178</c:v>
                </c:pt>
                <c:pt idx="21">
                  <c:v>82.33944260715167</c:v>
                </c:pt>
                <c:pt idx="22">
                  <c:v>84.18907210225493</c:v>
                </c:pt>
                <c:pt idx="23">
                  <c:v>86.05284026741191</c:v>
                </c:pt>
                <c:pt idx="24">
                  <c:v>87.93040724629122</c:v>
                </c:pt>
                <c:pt idx="25">
                  <c:v>89.82143271870066</c:v>
                </c:pt>
                <c:pt idx="26">
                  <c:v>91.72557606855077</c:v>
                </c:pt>
                <c:pt idx="27">
                  <c:v>93.64249654898288</c:v>
                </c:pt>
                <c:pt idx="28">
                  <c:v>95.57185344457514</c:v>
                </c:pt>
                <c:pt idx="29">
                  <c:v>97.51330623054636</c:v>
                </c:pt>
                <c:pt idx="30">
                  <c:v>99.46651472888112</c:v>
                </c:pt>
                <c:pt idx="31">
                  <c:v>101.4311392613044</c:v>
                </c:pt>
                <c:pt idx="32">
                  <c:v>103.4068407990392</c:v>
                </c:pt>
                <c:pt idx="33">
                  <c:v>105.3932811092844</c:v>
                </c:pt>
                <c:pt idx="34">
                  <c:v>107.3901228983558</c:v>
                </c:pt>
                <c:pt idx="35">
                  <c:v>109.3970299514375</c:v>
                </c:pt>
                <c:pt idx="36">
                  <c:v>111.413667268896</c:v>
                </c:pt>
                <c:pt idx="37">
                  <c:v>113.4397011991128</c:v>
                </c:pt>
                <c:pt idx="38">
                  <c:v>115.4747995677998</c:v>
                </c:pt>
                <c:pt idx="39">
                  <c:v>117.5186318037599</c:v>
                </c:pt>
                <c:pt idx="40">
                  <c:v>119.5708690610677</c:v>
                </c:pt>
                <c:pt idx="41">
                  <c:v>121.6311843376437</c:v>
                </c:pt>
                <c:pt idx="42">
                  <c:v>123.6992525902027</c:v>
                </c:pt>
                <c:pt idx="43">
                  <c:v>125.7747508455613</c:v>
                </c:pt>
                <c:pt idx="44">
                  <c:v>127.8573583082935</c:v>
                </c:pt>
                <c:pt idx="45">
                  <c:v>129.9467564647276</c:v>
                </c:pt>
                <c:pt idx="46">
                  <c:v>132.0426291832828</c:v>
                </c:pt>
                <c:pt idx="47">
                  <c:v>134.1446628111457</c:v>
                </c:pt>
                <c:pt idx="48">
                  <c:v>136.2525462672942</c:v>
                </c:pt>
                <c:pt idx="49">
                  <c:v>138.3659711318775</c:v>
                </c:pt>
                <c:pt idx="50">
                  <c:v>140.4846317319655</c:v>
                </c:pt>
                <c:pt idx="51">
                  <c:v>142.6082252236853</c:v>
                </c:pt>
                <c:pt idx="52">
                  <c:v>144.7364516707648</c:v>
                </c:pt>
                <c:pt idx="53">
                  <c:v>146.8690141195079</c:v>
                </c:pt>
                <c:pt idx="54">
                  <c:v>149.0056186702288</c:v>
                </c:pt>
                <c:pt idx="55">
                  <c:v>151.1459745451745</c:v>
                </c:pt>
                <c:pt idx="56">
                  <c:v>153.2897941529709</c:v>
                </c:pt>
                <c:pt idx="57">
                  <c:v>155.4367931496272</c:v>
                </c:pt>
                <c:pt idx="58">
                  <c:v>157.5866904961385</c:v>
                </c:pt>
                <c:pt idx="59">
                  <c:v>159.7392085127281</c:v>
                </c:pt>
                <c:pt idx="60">
                  <c:v>161.8940729297728</c:v>
                </c:pt>
                <c:pt idx="61">
                  <c:v>164.0510129354595</c:v>
                </c:pt>
                <c:pt idx="62">
                  <c:v>166.209761220219</c:v>
                </c:pt>
                <c:pt idx="63">
                  <c:v>168.3700540179904</c:v>
                </c:pt>
                <c:pt idx="64">
                  <c:v>170.5316311443663</c:v>
                </c:pt>
                <c:pt idx="65">
                  <c:v>172.6942360316742</c:v>
                </c:pt>
                <c:pt idx="66">
                  <c:v>174.8576157610509</c:v>
                </c:pt>
                <c:pt idx="67">
                  <c:v>177.0215210915646</c:v>
                </c:pt>
                <c:pt idx="68">
                  <c:v>179.1857064864467</c:v>
                </c:pt>
                <c:pt idx="69">
                  <c:v>181.349930136491</c:v>
                </c:pt>
                <c:pt idx="70">
                  <c:v>183.5139539806826</c:v>
                </c:pt>
                <c:pt idx="71">
                  <c:v>185.6775437241183</c:v>
                </c:pt>
                <c:pt idx="72">
                  <c:v>187.8404688532819</c:v>
                </c:pt>
                <c:pt idx="73">
                  <c:v>190.0025026487373</c:v>
                </c:pt>
                <c:pt idx="74">
                  <c:v>192.1634221953051</c:v>
                </c:pt>
                <c:pt idx="75">
                  <c:v>194.3230083897874</c:v>
                </c:pt>
                <c:pt idx="76">
                  <c:v>196.4810459463044</c:v>
                </c:pt>
                <c:pt idx="77">
                  <c:v>198.6373233993124</c:v>
                </c:pt>
                <c:pt idx="78">
                  <c:v>200.791633104365</c:v>
                </c:pt>
                <c:pt idx="79">
                  <c:v>202.9437712366868</c:v>
                </c:pt>
                <c:pt idx="80">
                  <c:v>205.093537787624</c:v>
                </c:pt>
                <c:pt idx="81">
                  <c:v>207.2407365590387</c:v>
                </c:pt>
                <c:pt idx="82">
                  <c:v>209.3851751557135</c:v>
                </c:pt>
                <c:pt idx="83">
                  <c:v>211.5266649758306</c:v>
                </c:pt>
                <c:pt idx="84">
                  <c:v>213.6650211995928</c:v>
                </c:pt>
                <c:pt idx="85">
                  <c:v>215.8000627760505</c:v>
                </c:pt>
                <c:pt idx="86">
                  <c:v>217.9316124081988</c:v>
                </c:pt>
                <c:pt idx="87">
                  <c:v>220.0594965364107</c:v>
                </c:pt>
                <c:pt idx="88">
                  <c:v>222.1835453202697</c:v>
                </c:pt>
                <c:pt idx="89">
                  <c:v>224.3035926188621</c:v>
                </c:pt>
                <c:pt idx="90">
                  <c:v>226.4194759695961</c:v>
                </c:pt>
                <c:pt idx="91">
                  <c:v>228.5310365656049</c:v>
                </c:pt>
                <c:pt idx="92">
                  <c:v>230.6381192317978</c:v>
                </c:pt>
                <c:pt idx="93">
                  <c:v>232.7405723996173</c:v>
                </c:pt>
                <c:pt idx="94">
                  <c:v>234.8382480805632</c:v>
                </c:pt>
                <c:pt idx="95">
                  <c:v>236.9310018385396</c:v>
                </c:pt>
                <c:pt idx="96">
                  <c:v>239.0186927610846</c:v>
                </c:pt>
                <c:pt idx="97">
                  <c:v>241.1011834295375</c:v>
                </c:pt>
                <c:pt idx="98">
                  <c:v>243.1783398881994</c:v>
                </c:pt>
                <c:pt idx="99">
                  <c:v>245.2500316125415</c:v>
                </c:pt>
                <c:pt idx="100">
                  <c:v>247.3161314765133</c:v>
                </c:pt>
                <c:pt idx="101">
                  <c:v>249.3765157190056</c:v>
                </c:pt>
                <c:pt idx="102">
                  <c:v>251.4310639095155</c:v>
                </c:pt>
                <c:pt idx="103">
                  <c:v>253.4796589130669</c:v>
                </c:pt>
                <c:pt idx="104">
                  <c:v>255.5221868544333</c:v>
                </c:pt>
                <c:pt idx="105">
                  <c:v>257.5585370817108</c:v>
                </c:pt>
                <c:pt idx="106">
                  <c:v>259.5886021292886</c:v>
                </c:pt>
                <c:pt idx="107">
                  <c:v>261.6122776802612</c:v>
                </c:pt>
                <c:pt idx="108">
                  <c:v>263.6294625283284</c:v>
                </c:pt>
                <c:pt idx="109">
                  <c:v>265.6400585392231</c:v>
                </c:pt>
                <c:pt idx="110">
                  <c:v>267.6439706117118</c:v>
                </c:pt>
                <c:pt idx="111">
                  <c:v>269.6411066382074</c:v>
                </c:pt>
                <c:pt idx="112">
                  <c:v>271.6313774650321</c:v>
                </c:pt>
                <c:pt idx="113">
                  <c:v>273.6146968523716</c:v>
                </c:pt>
                <c:pt idx="114">
                  <c:v>275.5909814339564</c:v>
                </c:pt>
                <c:pt idx="115">
                  <c:v>277.5601506765054</c:v>
                </c:pt>
                <c:pt idx="116">
                  <c:v>279.5221268389677</c:v>
                </c:pt>
                <c:pt idx="117">
                  <c:v>281.4768349315973</c:v>
                </c:pt>
                <c:pt idx="118">
                  <c:v>283.4242026748904</c:v>
                </c:pt>
                <c:pt idx="119">
                  <c:v>285.3641604584201</c:v>
                </c:pt>
                <c:pt idx="120">
                  <c:v>287.2966412995964</c:v>
                </c:pt>
                <c:pt idx="121">
                  <c:v>289.2215808023821</c:v>
                </c:pt>
                <c:pt idx="122">
                  <c:v>291.1389171159924</c:v>
                </c:pt>
                <c:pt idx="123">
                  <c:v>293.0485908936056</c:v>
                </c:pt>
                <c:pt idx="124">
                  <c:v>294.9505452511104</c:v>
                </c:pt>
                <c:pt idx="125">
                  <c:v>296.8447257259156</c:v>
                </c:pt>
                <c:pt idx="126">
                  <c:v>298.7310802358465</c:v>
                </c:pt>
                <c:pt idx="127">
                  <c:v>300.6095590381487</c:v>
                </c:pt>
                <c:pt idx="128">
                  <c:v>302.4801146886259</c:v>
                </c:pt>
                <c:pt idx="129">
                  <c:v>304.3427020009278</c:v>
                </c:pt>
              </c:numCache>
            </c:numRef>
          </c:xVal>
          <c:yVal>
            <c:numRef>
              <c:f>GrowthCurveAdjustments!$E$2:$E$131</c:f>
              <c:numCache>
                <c:formatCode>0.00</c:formatCode>
                <c:ptCount val="130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  <c:pt idx="41">
                  <c:v>0.0</c:v>
                </c:pt>
                <c:pt idx="42">
                  <c:v>0.0</c:v>
                </c:pt>
                <c:pt idx="43">
                  <c:v>0.0</c:v>
                </c:pt>
                <c:pt idx="44">
                  <c:v>0.0</c:v>
                </c:pt>
                <c:pt idx="45">
                  <c:v>0.0</c:v>
                </c:pt>
                <c:pt idx="46">
                  <c:v>0.0</c:v>
                </c:pt>
                <c:pt idx="47">
                  <c:v>0.0</c:v>
                </c:pt>
                <c:pt idx="48">
                  <c:v>0.0</c:v>
                </c:pt>
                <c:pt idx="49">
                  <c:v>0.0</c:v>
                </c:pt>
                <c:pt idx="50">
                  <c:v>0.0</c:v>
                </c:pt>
                <c:pt idx="51">
                  <c:v>0.0</c:v>
                </c:pt>
                <c:pt idx="52">
                  <c:v>0.0</c:v>
                </c:pt>
                <c:pt idx="53">
                  <c:v>0.0</c:v>
                </c:pt>
                <c:pt idx="54">
                  <c:v>0.0</c:v>
                </c:pt>
                <c:pt idx="55">
                  <c:v>0.0</c:v>
                </c:pt>
                <c:pt idx="56">
                  <c:v>0.0</c:v>
                </c:pt>
                <c:pt idx="57">
                  <c:v>0.0</c:v>
                </c:pt>
                <c:pt idx="58">
                  <c:v>0.0</c:v>
                </c:pt>
                <c:pt idx="59">
                  <c:v>0.0</c:v>
                </c:pt>
                <c:pt idx="60">
                  <c:v>0.0</c:v>
                </c:pt>
                <c:pt idx="61">
                  <c:v>0.0</c:v>
                </c:pt>
                <c:pt idx="62">
                  <c:v>0.0</c:v>
                </c:pt>
                <c:pt idx="63">
                  <c:v>0.0</c:v>
                </c:pt>
                <c:pt idx="64">
                  <c:v>0.0</c:v>
                </c:pt>
                <c:pt idx="65">
                  <c:v>0.0</c:v>
                </c:pt>
                <c:pt idx="66">
                  <c:v>0.0</c:v>
                </c:pt>
                <c:pt idx="67">
                  <c:v>0.0</c:v>
                </c:pt>
                <c:pt idx="68">
                  <c:v>0.0</c:v>
                </c:pt>
                <c:pt idx="69">
                  <c:v>0.0</c:v>
                </c:pt>
                <c:pt idx="70">
                  <c:v>0.0</c:v>
                </c:pt>
                <c:pt idx="71">
                  <c:v>0.0</c:v>
                </c:pt>
                <c:pt idx="72">
                  <c:v>0.0</c:v>
                </c:pt>
                <c:pt idx="73">
                  <c:v>0.0</c:v>
                </c:pt>
                <c:pt idx="74">
                  <c:v>0.0</c:v>
                </c:pt>
                <c:pt idx="75">
                  <c:v>0.0</c:v>
                </c:pt>
                <c:pt idx="76">
                  <c:v>0.0</c:v>
                </c:pt>
                <c:pt idx="77">
                  <c:v>0.0</c:v>
                </c:pt>
                <c:pt idx="78">
                  <c:v>0.0</c:v>
                </c:pt>
                <c:pt idx="79">
                  <c:v>0.0</c:v>
                </c:pt>
                <c:pt idx="80">
                  <c:v>0.0</c:v>
                </c:pt>
                <c:pt idx="81">
                  <c:v>0.0</c:v>
                </c:pt>
                <c:pt idx="82">
                  <c:v>0.0</c:v>
                </c:pt>
                <c:pt idx="83">
                  <c:v>0.0</c:v>
                </c:pt>
                <c:pt idx="84">
                  <c:v>0.0</c:v>
                </c:pt>
                <c:pt idx="85">
                  <c:v>0.0</c:v>
                </c:pt>
                <c:pt idx="86">
                  <c:v>0.0</c:v>
                </c:pt>
                <c:pt idx="87">
                  <c:v>0.0</c:v>
                </c:pt>
                <c:pt idx="88">
                  <c:v>0.0</c:v>
                </c:pt>
                <c:pt idx="89">
                  <c:v>0.0</c:v>
                </c:pt>
                <c:pt idx="90">
                  <c:v>0.0</c:v>
                </c:pt>
                <c:pt idx="91">
                  <c:v>0.0</c:v>
                </c:pt>
                <c:pt idx="92">
                  <c:v>0.0</c:v>
                </c:pt>
                <c:pt idx="93">
                  <c:v>0.0</c:v>
                </c:pt>
                <c:pt idx="94">
                  <c:v>0.0</c:v>
                </c:pt>
                <c:pt idx="95">
                  <c:v>0.0</c:v>
                </c:pt>
                <c:pt idx="96">
                  <c:v>0.0</c:v>
                </c:pt>
                <c:pt idx="97">
                  <c:v>0.0</c:v>
                </c:pt>
                <c:pt idx="98">
                  <c:v>0.0</c:v>
                </c:pt>
                <c:pt idx="99">
                  <c:v>0.0</c:v>
                </c:pt>
                <c:pt idx="100">
                  <c:v>0.0</c:v>
                </c:pt>
                <c:pt idx="101">
                  <c:v>0.0</c:v>
                </c:pt>
                <c:pt idx="102">
                  <c:v>0.0</c:v>
                </c:pt>
                <c:pt idx="103">
                  <c:v>0.0</c:v>
                </c:pt>
                <c:pt idx="104">
                  <c:v>0.0</c:v>
                </c:pt>
                <c:pt idx="105">
                  <c:v>0.0</c:v>
                </c:pt>
                <c:pt idx="106">
                  <c:v>0.0</c:v>
                </c:pt>
                <c:pt idx="107">
                  <c:v>0.0</c:v>
                </c:pt>
                <c:pt idx="108">
                  <c:v>0.0</c:v>
                </c:pt>
                <c:pt idx="109">
                  <c:v>0.0</c:v>
                </c:pt>
                <c:pt idx="110">
                  <c:v>0.0</c:v>
                </c:pt>
                <c:pt idx="111">
                  <c:v>0.0</c:v>
                </c:pt>
                <c:pt idx="112">
                  <c:v>0.0</c:v>
                </c:pt>
                <c:pt idx="113">
                  <c:v>0.0</c:v>
                </c:pt>
                <c:pt idx="114">
                  <c:v>0.0</c:v>
                </c:pt>
                <c:pt idx="115">
                  <c:v>0.0</c:v>
                </c:pt>
                <c:pt idx="116">
                  <c:v>0.0</c:v>
                </c:pt>
                <c:pt idx="117">
                  <c:v>0.0</c:v>
                </c:pt>
                <c:pt idx="118">
                  <c:v>0.0</c:v>
                </c:pt>
                <c:pt idx="119">
                  <c:v>0.0</c:v>
                </c:pt>
                <c:pt idx="120">
                  <c:v>0.0</c:v>
                </c:pt>
                <c:pt idx="121">
                  <c:v>0.0</c:v>
                </c:pt>
                <c:pt idx="122">
                  <c:v>0.0</c:v>
                </c:pt>
                <c:pt idx="123">
                  <c:v>0.0</c:v>
                </c:pt>
                <c:pt idx="124">
                  <c:v>0.0</c:v>
                </c:pt>
                <c:pt idx="125">
                  <c:v>0.0</c:v>
                </c:pt>
                <c:pt idx="126">
                  <c:v>0.0</c:v>
                </c:pt>
                <c:pt idx="127">
                  <c:v>0.0</c:v>
                </c:pt>
                <c:pt idx="128">
                  <c:v>0.0</c:v>
                </c:pt>
                <c:pt idx="129">
                  <c:v>0.0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F8D-4A71-8051-44274A3A45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19961224"/>
        <c:axId val="2119968232"/>
      </c:scatterChart>
      <c:scatterChart>
        <c:scatterStyle val="lineMarker"/>
        <c:varyColors val="0"/>
        <c:ser>
          <c:idx val="3"/>
          <c:order val="3"/>
          <c:tx>
            <c:strRef>
              <c:f>GrowthCurveAdjustments!$F$1</c:f>
              <c:strCache>
                <c:ptCount val="1"/>
                <c:pt idx="0">
                  <c:v>Adj. F/G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noFill/>
              <a:ln w="25400">
                <a:noFill/>
              </a:ln>
              <a:effectLst/>
            </c:spPr>
          </c:marker>
          <c:xVal>
            <c:numRef>
              <c:f>GrowthCurveAdjustments!$B$2:$B$131</c:f>
              <c:numCache>
                <c:formatCode>0.0</c:formatCode>
                <c:ptCount val="130"/>
                <c:pt idx="0">
                  <c:v>47.35072379343023</c:v>
                </c:pt>
                <c:pt idx="1">
                  <c:v>48.827668250911</c:v>
                </c:pt>
                <c:pt idx="2">
                  <c:v>50.3254590254267</c:v>
                </c:pt>
                <c:pt idx="3">
                  <c:v>51.84380871946932</c:v>
                </c:pt>
                <c:pt idx="4">
                  <c:v>53.38242547823602</c:v>
                </c:pt>
                <c:pt idx="5">
                  <c:v>54.94101319162121</c:v>
                </c:pt>
                <c:pt idx="6">
                  <c:v>56.51927169580354</c:v>
                </c:pt>
                <c:pt idx="7">
                  <c:v>58.11689697430989</c:v>
                </c:pt>
                <c:pt idx="8">
                  <c:v>59.73358135843633</c:v>
                </c:pt>
                <c:pt idx="9">
                  <c:v>61.36901372690212</c:v>
                </c:pt>
                <c:pt idx="10">
                  <c:v>63.02287970461219</c:v>
                </c:pt>
                <c:pt idx="11">
                  <c:v>64.69486186040145</c:v>
                </c:pt>
                <c:pt idx="12">
                  <c:v>66.38463990363411</c:v>
                </c:pt>
                <c:pt idx="13">
                  <c:v>68.09189087953108</c:v>
                </c:pt>
                <c:pt idx="14">
                  <c:v>69.81628936309837</c:v>
                </c:pt>
                <c:pt idx="15">
                  <c:v>71.55750765153167</c:v>
                </c:pt>
                <c:pt idx="16">
                  <c:v>73.31521595497144</c:v>
                </c:pt>
                <c:pt idx="17">
                  <c:v>75.08908258548718</c:v>
                </c:pt>
                <c:pt idx="18">
                  <c:v>76.87877414416917</c:v>
                </c:pt>
                <c:pt idx="19">
                  <c:v>78.68395570621024</c:v>
                </c:pt>
                <c:pt idx="20">
                  <c:v>80.50429100386178</c:v>
                </c:pt>
                <c:pt idx="21">
                  <c:v>82.33944260715167</c:v>
                </c:pt>
                <c:pt idx="22">
                  <c:v>84.18907210225493</c:v>
                </c:pt>
                <c:pt idx="23">
                  <c:v>86.05284026741191</c:v>
                </c:pt>
                <c:pt idx="24">
                  <c:v>87.93040724629122</c:v>
                </c:pt>
                <c:pt idx="25">
                  <c:v>89.82143271870066</c:v>
                </c:pt>
                <c:pt idx="26">
                  <c:v>91.72557606855077</c:v>
                </c:pt>
                <c:pt idx="27">
                  <c:v>93.64249654898288</c:v>
                </c:pt>
                <c:pt idx="28">
                  <c:v>95.57185344457514</c:v>
                </c:pt>
                <c:pt idx="29">
                  <c:v>97.51330623054636</c:v>
                </c:pt>
                <c:pt idx="30">
                  <c:v>99.46651472888112</c:v>
                </c:pt>
                <c:pt idx="31">
                  <c:v>101.4311392613044</c:v>
                </c:pt>
                <c:pt idx="32">
                  <c:v>103.4068407990392</c:v>
                </c:pt>
                <c:pt idx="33">
                  <c:v>105.3932811092844</c:v>
                </c:pt>
                <c:pt idx="34">
                  <c:v>107.3901228983558</c:v>
                </c:pt>
                <c:pt idx="35">
                  <c:v>109.3970299514375</c:v>
                </c:pt>
                <c:pt idx="36">
                  <c:v>111.413667268896</c:v>
                </c:pt>
                <c:pt idx="37">
                  <c:v>113.4397011991128</c:v>
                </c:pt>
                <c:pt idx="38">
                  <c:v>115.4747995677998</c:v>
                </c:pt>
                <c:pt idx="39">
                  <c:v>117.5186318037599</c:v>
                </c:pt>
                <c:pt idx="40">
                  <c:v>119.5708690610677</c:v>
                </c:pt>
                <c:pt idx="41">
                  <c:v>121.6311843376437</c:v>
                </c:pt>
                <c:pt idx="42">
                  <c:v>123.6992525902027</c:v>
                </c:pt>
                <c:pt idx="43">
                  <c:v>125.7747508455613</c:v>
                </c:pt>
                <c:pt idx="44">
                  <c:v>127.8573583082935</c:v>
                </c:pt>
                <c:pt idx="45">
                  <c:v>129.9467564647276</c:v>
                </c:pt>
                <c:pt idx="46">
                  <c:v>132.0426291832828</c:v>
                </c:pt>
                <c:pt idx="47">
                  <c:v>134.1446628111457</c:v>
                </c:pt>
                <c:pt idx="48">
                  <c:v>136.2525462672942</c:v>
                </c:pt>
                <c:pt idx="49">
                  <c:v>138.3659711318775</c:v>
                </c:pt>
                <c:pt idx="50">
                  <c:v>140.4846317319655</c:v>
                </c:pt>
                <c:pt idx="51">
                  <c:v>142.6082252236853</c:v>
                </c:pt>
                <c:pt idx="52">
                  <c:v>144.7364516707648</c:v>
                </c:pt>
                <c:pt idx="53">
                  <c:v>146.8690141195079</c:v>
                </c:pt>
                <c:pt idx="54">
                  <c:v>149.0056186702288</c:v>
                </c:pt>
                <c:pt idx="55">
                  <c:v>151.1459745451745</c:v>
                </c:pt>
                <c:pt idx="56">
                  <c:v>153.2897941529709</c:v>
                </c:pt>
                <c:pt idx="57">
                  <c:v>155.4367931496272</c:v>
                </c:pt>
                <c:pt idx="58">
                  <c:v>157.5866904961385</c:v>
                </c:pt>
                <c:pt idx="59">
                  <c:v>159.7392085127281</c:v>
                </c:pt>
                <c:pt idx="60">
                  <c:v>161.8940729297728</c:v>
                </c:pt>
                <c:pt idx="61">
                  <c:v>164.0510129354595</c:v>
                </c:pt>
                <c:pt idx="62">
                  <c:v>166.209761220219</c:v>
                </c:pt>
                <c:pt idx="63">
                  <c:v>168.3700540179904</c:v>
                </c:pt>
                <c:pt idx="64">
                  <c:v>170.5316311443663</c:v>
                </c:pt>
                <c:pt idx="65">
                  <c:v>172.6942360316742</c:v>
                </c:pt>
                <c:pt idx="66">
                  <c:v>174.8576157610509</c:v>
                </c:pt>
                <c:pt idx="67">
                  <c:v>177.0215210915646</c:v>
                </c:pt>
                <c:pt idx="68">
                  <c:v>179.1857064864467</c:v>
                </c:pt>
                <c:pt idx="69">
                  <c:v>181.349930136491</c:v>
                </c:pt>
                <c:pt idx="70">
                  <c:v>183.5139539806826</c:v>
                </c:pt>
                <c:pt idx="71">
                  <c:v>185.6775437241183</c:v>
                </c:pt>
                <c:pt idx="72">
                  <c:v>187.8404688532819</c:v>
                </c:pt>
                <c:pt idx="73">
                  <c:v>190.0025026487373</c:v>
                </c:pt>
                <c:pt idx="74">
                  <c:v>192.1634221953051</c:v>
                </c:pt>
                <c:pt idx="75">
                  <c:v>194.3230083897874</c:v>
                </c:pt>
                <c:pt idx="76">
                  <c:v>196.4810459463044</c:v>
                </c:pt>
                <c:pt idx="77">
                  <c:v>198.6373233993124</c:v>
                </c:pt>
                <c:pt idx="78">
                  <c:v>200.791633104365</c:v>
                </c:pt>
                <c:pt idx="79">
                  <c:v>202.9437712366868</c:v>
                </c:pt>
                <c:pt idx="80">
                  <c:v>205.093537787624</c:v>
                </c:pt>
                <c:pt idx="81">
                  <c:v>207.2407365590387</c:v>
                </c:pt>
                <c:pt idx="82">
                  <c:v>209.3851751557135</c:v>
                </c:pt>
                <c:pt idx="83">
                  <c:v>211.5266649758306</c:v>
                </c:pt>
                <c:pt idx="84">
                  <c:v>213.6650211995928</c:v>
                </c:pt>
                <c:pt idx="85">
                  <c:v>215.8000627760505</c:v>
                </c:pt>
                <c:pt idx="86">
                  <c:v>217.9316124081988</c:v>
                </c:pt>
                <c:pt idx="87">
                  <c:v>220.0594965364107</c:v>
                </c:pt>
                <c:pt idx="88">
                  <c:v>222.1835453202697</c:v>
                </c:pt>
                <c:pt idx="89">
                  <c:v>224.3035926188621</c:v>
                </c:pt>
                <c:pt idx="90">
                  <c:v>226.4194759695961</c:v>
                </c:pt>
                <c:pt idx="91">
                  <c:v>228.5310365656049</c:v>
                </c:pt>
                <c:pt idx="92">
                  <c:v>230.6381192317978</c:v>
                </c:pt>
                <c:pt idx="93">
                  <c:v>232.7405723996173</c:v>
                </c:pt>
                <c:pt idx="94">
                  <c:v>234.8382480805632</c:v>
                </c:pt>
                <c:pt idx="95">
                  <c:v>236.9310018385396</c:v>
                </c:pt>
                <c:pt idx="96">
                  <c:v>239.0186927610846</c:v>
                </c:pt>
                <c:pt idx="97">
                  <c:v>241.1011834295375</c:v>
                </c:pt>
                <c:pt idx="98">
                  <c:v>243.1783398881994</c:v>
                </c:pt>
                <c:pt idx="99">
                  <c:v>245.2500316125415</c:v>
                </c:pt>
                <c:pt idx="100">
                  <c:v>247.3161314765133</c:v>
                </c:pt>
                <c:pt idx="101">
                  <c:v>249.3765157190056</c:v>
                </c:pt>
                <c:pt idx="102">
                  <c:v>251.4310639095155</c:v>
                </c:pt>
                <c:pt idx="103">
                  <c:v>253.4796589130669</c:v>
                </c:pt>
                <c:pt idx="104">
                  <c:v>255.5221868544333</c:v>
                </c:pt>
                <c:pt idx="105">
                  <c:v>257.5585370817108</c:v>
                </c:pt>
                <c:pt idx="106">
                  <c:v>259.5886021292886</c:v>
                </c:pt>
                <c:pt idx="107">
                  <c:v>261.6122776802612</c:v>
                </c:pt>
                <c:pt idx="108">
                  <c:v>263.6294625283284</c:v>
                </c:pt>
                <c:pt idx="109">
                  <c:v>265.6400585392231</c:v>
                </c:pt>
                <c:pt idx="110">
                  <c:v>267.6439706117118</c:v>
                </c:pt>
                <c:pt idx="111">
                  <c:v>269.6411066382074</c:v>
                </c:pt>
                <c:pt idx="112">
                  <c:v>271.6313774650321</c:v>
                </c:pt>
                <c:pt idx="113">
                  <c:v>273.6146968523716</c:v>
                </c:pt>
                <c:pt idx="114">
                  <c:v>275.5909814339564</c:v>
                </c:pt>
                <c:pt idx="115">
                  <c:v>277.5601506765054</c:v>
                </c:pt>
                <c:pt idx="116">
                  <c:v>279.5221268389677</c:v>
                </c:pt>
                <c:pt idx="117">
                  <c:v>281.4768349315973</c:v>
                </c:pt>
                <c:pt idx="118">
                  <c:v>283.4242026748904</c:v>
                </c:pt>
                <c:pt idx="119">
                  <c:v>285.3641604584201</c:v>
                </c:pt>
                <c:pt idx="120">
                  <c:v>287.2966412995964</c:v>
                </c:pt>
                <c:pt idx="121">
                  <c:v>289.2215808023821</c:v>
                </c:pt>
                <c:pt idx="122">
                  <c:v>291.1389171159924</c:v>
                </c:pt>
                <c:pt idx="123">
                  <c:v>293.0485908936056</c:v>
                </c:pt>
                <c:pt idx="124">
                  <c:v>294.9505452511104</c:v>
                </c:pt>
                <c:pt idx="125">
                  <c:v>296.8447257259156</c:v>
                </c:pt>
                <c:pt idx="126">
                  <c:v>298.7310802358465</c:v>
                </c:pt>
                <c:pt idx="127">
                  <c:v>300.6095590381487</c:v>
                </c:pt>
                <c:pt idx="128">
                  <c:v>302.4801146886259</c:v>
                </c:pt>
                <c:pt idx="129">
                  <c:v>304.3427020009278</c:v>
                </c:pt>
              </c:numCache>
            </c:numRef>
          </c:xVal>
          <c:yVal>
            <c:numRef>
              <c:f>GrowthCurveAdjustments!$F$2:$F$131</c:f>
              <c:numCache>
                <c:formatCode>0.00</c:formatCode>
                <c:ptCount val="130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  <c:pt idx="41">
                  <c:v>0.0</c:v>
                </c:pt>
                <c:pt idx="42">
                  <c:v>0.0</c:v>
                </c:pt>
                <c:pt idx="43">
                  <c:v>0.0</c:v>
                </c:pt>
                <c:pt idx="44">
                  <c:v>0.0</c:v>
                </c:pt>
                <c:pt idx="45">
                  <c:v>0.0</c:v>
                </c:pt>
                <c:pt idx="46">
                  <c:v>0.0</c:v>
                </c:pt>
                <c:pt idx="47">
                  <c:v>0.0</c:v>
                </c:pt>
                <c:pt idx="48">
                  <c:v>0.0</c:v>
                </c:pt>
                <c:pt idx="49">
                  <c:v>0.0</c:v>
                </c:pt>
                <c:pt idx="50">
                  <c:v>0.0</c:v>
                </c:pt>
                <c:pt idx="51">
                  <c:v>0.0</c:v>
                </c:pt>
                <c:pt idx="52">
                  <c:v>0.0</c:v>
                </c:pt>
                <c:pt idx="53">
                  <c:v>0.0</c:v>
                </c:pt>
                <c:pt idx="54">
                  <c:v>0.0</c:v>
                </c:pt>
                <c:pt idx="55">
                  <c:v>0.0</c:v>
                </c:pt>
                <c:pt idx="56">
                  <c:v>0.0</c:v>
                </c:pt>
                <c:pt idx="57">
                  <c:v>0.0</c:v>
                </c:pt>
                <c:pt idx="58">
                  <c:v>0.0</c:v>
                </c:pt>
                <c:pt idx="59">
                  <c:v>0.0</c:v>
                </c:pt>
                <c:pt idx="60">
                  <c:v>0.0</c:v>
                </c:pt>
                <c:pt idx="61">
                  <c:v>0.0</c:v>
                </c:pt>
                <c:pt idx="62">
                  <c:v>0.0</c:v>
                </c:pt>
                <c:pt idx="63">
                  <c:v>0.0</c:v>
                </c:pt>
                <c:pt idx="64">
                  <c:v>0.0</c:v>
                </c:pt>
                <c:pt idx="65">
                  <c:v>0.0</c:v>
                </c:pt>
                <c:pt idx="66">
                  <c:v>0.0</c:v>
                </c:pt>
                <c:pt idx="67">
                  <c:v>0.0</c:v>
                </c:pt>
                <c:pt idx="68">
                  <c:v>0.0</c:v>
                </c:pt>
                <c:pt idx="69">
                  <c:v>0.0</c:v>
                </c:pt>
                <c:pt idx="70">
                  <c:v>0.0</c:v>
                </c:pt>
                <c:pt idx="71">
                  <c:v>0.0</c:v>
                </c:pt>
                <c:pt idx="72">
                  <c:v>0.0</c:v>
                </c:pt>
                <c:pt idx="73">
                  <c:v>0.0</c:v>
                </c:pt>
                <c:pt idx="74">
                  <c:v>0.0</c:v>
                </c:pt>
                <c:pt idx="75">
                  <c:v>0.0</c:v>
                </c:pt>
                <c:pt idx="76">
                  <c:v>0.0</c:v>
                </c:pt>
                <c:pt idx="77">
                  <c:v>0.0</c:v>
                </c:pt>
                <c:pt idx="78">
                  <c:v>0.0</c:v>
                </c:pt>
                <c:pt idx="79">
                  <c:v>0.0</c:v>
                </c:pt>
                <c:pt idx="80">
                  <c:v>0.0</c:v>
                </c:pt>
                <c:pt idx="81">
                  <c:v>0.0</c:v>
                </c:pt>
                <c:pt idx="82">
                  <c:v>0.0</c:v>
                </c:pt>
                <c:pt idx="83">
                  <c:v>0.0</c:v>
                </c:pt>
                <c:pt idx="84">
                  <c:v>0.0</c:v>
                </c:pt>
                <c:pt idx="85">
                  <c:v>0.0</c:v>
                </c:pt>
                <c:pt idx="86">
                  <c:v>0.0</c:v>
                </c:pt>
                <c:pt idx="87">
                  <c:v>0.0</c:v>
                </c:pt>
                <c:pt idx="88">
                  <c:v>0.0</c:v>
                </c:pt>
                <c:pt idx="89">
                  <c:v>0.0</c:v>
                </c:pt>
                <c:pt idx="90">
                  <c:v>0.0</c:v>
                </c:pt>
                <c:pt idx="91">
                  <c:v>0.0</c:v>
                </c:pt>
                <c:pt idx="92">
                  <c:v>0.0</c:v>
                </c:pt>
                <c:pt idx="93">
                  <c:v>0.0</c:v>
                </c:pt>
                <c:pt idx="94">
                  <c:v>0.0</c:v>
                </c:pt>
                <c:pt idx="95">
                  <c:v>0.0</c:v>
                </c:pt>
                <c:pt idx="96">
                  <c:v>0.0</c:v>
                </c:pt>
                <c:pt idx="97">
                  <c:v>0.0</c:v>
                </c:pt>
                <c:pt idx="98">
                  <c:v>0.0</c:v>
                </c:pt>
                <c:pt idx="99">
                  <c:v>0.0</c:v>
                </c:pt>
                <c:pt idx="100">
                  <c:v>0.0</c:v>
                </c:pt>
                <c:pt idx="101">
                  <c:v>0.0</c:v>
                </c:pt>
                <c:pt idx="102">
                  <c:v>0.0</c:v>
                </c:pt>
                <c:pt idx="103">
                  <c:v>0.0</c:v>
                </c:pt>
                <c:pt idx="104">
                  <c:v>0.0</c:v>
                </c:pt>
                <c:pt idx="105">
                  <c:v>0.0</c:v>
                </c:pt>
                <c:pt idx="106">
                  <c:v>0.0</c:v>
                </c:pt>
                <c:pt idx="107">
                  <c:v>0.0</c:v>
                </c:pt>
                <c:pt idx="108">
                  <c:v>0.0</c:v>
                </c:pt>
                <c:pt idx="109">
                  <c:v>0.0</c:v>
                </c:pt>
                <c:pt idx="110">
                  <c:v>0.0</c:v>
                </c:pt>
                <c:pt idx="111">
                  <c:v>0.0</c:v>
                </c:pt>
                <c:pt idx="112">
                  <c:v>0.0</c:v>
                </c:pt>
                <c:pt idx="113">
                  <c:v>0.0</c:v>
                </c:pt>
                <c:pt idx="114">
                  <c:v>0.0</c:v>
                </c:pt>
                <c:pt idx="115">
                  <c:v>0.0</c:v>
                </c:pt>
                <c:pt idx="116">
                  <c:v>0.0</c:v>
                </c:pt>
                <c:pt idx="117">
                  <c:v>0.0</c:v>
                </c:pt>
                <c:pt idx="118">
                  <c:v>0.0</c:v>
                </c:pt>
                <c:pt idx="119">
                  <c:v>0.0</c:v>
                </c:pt>
                <c:pt idx="120">
                  <c:v>0.0</c:v>
                </c:pt>
                <c:pt idx="121">
                  <c:v>0.0</c:v>
                </c:pt>
                <c:pt idx="122">
                  <c:v>0.0</c:v>
                </c:pt>
                <c:pt idx="123">
                  <c:v>0.0</c:v>
                </c:pt>
                <c:pt idx="124">
                  <c:v>0.0</c:v>
                </c:pt>
                <c:pt idx="125">
                  <c:v>0.0</c:v>
                </c:pt>
                <c:pt idx="126">
                  <c:v>0.0</c:v>
                </c:pt>
                <c:pt idx="127">
                  <c:v>0.0</c:v>
                </c:pt>
                <c:pt idx="128">
                  <c:v>0.0</c:v>
                </c:pt>
                <c:pt idx="129">
                  <c:v>0.0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F8D-4A71-8051-44274A3A45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19981672"/>
        <c:axId val="2119975192"/>
      </c:scatterChart>
      <c:valAx>
        <c:axId val="2119961224"/>
        <c:scaling>
          <c:orientation val="minMax"/>
          <c:max val="305.0"/>
          <c:min val="4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s-CL" sz="1200" b="1">
                    <a:solidFill>
                      <a:schemeClr val="tx1"/>
                    </a:solidFill>
                    <a:latin typeface="Arial Narrow" panose="020B0606020202030204" pitchFamily="34" charset="0"/>
                  </a:rPr>
                  <a:t>BW</a:t>
                </a:r>
                <a:r>
                  <a:rPr lang="es-CL" sz="1200" b="1" baseline="0">
                    <a:solidFill>
                      <a:schemeClr val="tx1"/>
                    </a:solidFill>
                    <a:latin typeface="Arial Narrow" panose="020B0606020202030204" pitchFamily="34" charset="0"/>
                  </a:rPr>
                  <a:t>, lb</a:t>
                </a:r>
                <a:endParaRPr lang="es-CL" sz="1200" b="1">
                  <a:solidFill>
                    <a:schemeClr val="tx1"/>
                  </a:solidFill>
                  <a:latin typeface="Arial Narrow" panose="020B060602020203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2119968232"/>
        <c:crosses val="autoZero"/>
        <c:crossBetween val="midCat"/>
      </c:valAx>
      <c:valAx>
        <c:axId val="21199682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s-CL" sz="1200" b="1">
                    <a:solidFill>
                      <a:schemeClr val="tx1"/>
                    </a:solidFill>
                    <a:latin typeface="Arial Narrow" panose="020B0606020202030204" pitchFamily="34" charset="0"/>
                  </a:rPr>
                  <a:t>ADG,</a:t>
                </a:r>
                <a:r>
                  <a:rPr lang="es-CL" sz="1200" b="1" baseline="0">
                    <a:solidFill>
                      <a:schemeClr val="tx1"/>
                    </a:solidFill>
                    <a:latin typeface="Arial Narrow" panose="020B0606020202030204" pitchFamily="34" charset="0"/>
                  </a:rPr>
                  <a:t> lb</a:t>
                </a:r>
                <a:endParaRPr lang="es-CL" sz="1200" b="1">
                  <a:solidFill>
                    <a:schemeClr val="tx1"/>
                  </a:solidFill>
                  <a:latin typeface="Arial Narrow" panose="020B0606020202030204" pitchFamily="34" charset="0"/>
                </a:endParaRPr>
              </a:p>
            </c:rich>
          </c:tx>
          <c:layout>
            <c:manualLayout>
              <c:xMode val="edge"/>
              <c:yMode val="edge"/>
              <c:x val="0.0491955267769179"/>
              <c:y val="0.43369904073016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2119961224"/>
        <c:crosses val="autoZero"/>
        <c:crossBetween val="midCat"/>
      </c:valAx>
      <c:valAx>
        <c:axId val="211997519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s-CL" sz="1200" b="1">
                    <a:solidFill>
                      <a:schemeClr val="tx1"/>
                    </a:solidFill>
                    <a:latin typeface="Arial Narrow" panose="020B0606020202030204" pitchFamily="34" charset="0"/>
                  </a:rPr>
                  <a:t>F/G</a:t>
                </a:r>
              </a:p>
            </c:rich>
          </c:tx>
          <c:layout>
            <c:manualLayout>
              <c:xMode val="edge"/>
              <c:yMode val="edge"/>
              <c:x val="0.924930472516152"/>
              <c:y val="0.45882377429168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2119981672"/>
        <c:crosses val="max"/>
        <c:crossBetween val="midCat"/>
      </c:valAx>
      <c:valAx>
        <c:axId val="2119981672"/>
        <c:scaling>
          <c:orientation val="minMax"/>
        </c:scaling>
        <c:delete val="1"/>
        <c:axPos val="t"/>
        <c:numFmt formatCode="0.0" sourceLinked="1"/>
        <c:majorTickMark val="out"/>
        <c:minorTickMark val="none"/>
        <c:tickLblPos val="none"/>
        <c:crossAx val="2119975192"/>
        <c:crosses val="max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" l="0.700000000000001" r="0.700000000000001" t="0.750000000000001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puts - Metric'!Print_Area"/><Relationship Id="rId2" Type="http://schemas.openxmlformats.org/officeDocument/2006/relationships/image" Target="../media/image1.jpeg"/><Relationship Id="rId3" Type="http://schemas.openxmlformats.org/officeDocument/2006/relationships/image" Target="../media/image2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Instructions!Print_Area"/><Relationship Id="rId2" Type="http://schemas.openxmlformats.org/officeDocument/2006/relationships/hyperlink" Target="#Outputs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Inputs!Print_Area"/><Relationship Id="rId2" Type="http://schemas.openxmlformats.org/officeDocument/2006/relationships/hyperlink" Target="#Outputs!Print_Area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Outputs!Print_Area"/><Relationship Id="rId2" Type="http://schemas.openxmlformats.org/officeDocument/2006/relationships/hyperlink" Target="#Inputs!Print_Area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Instructions!Print_Area"/><Relationship Id="rId2" Type="http://schemas.openxmlformats.org/officeDocument/2006/relationships/hyperlink" Target="#'Inputs - Metric'!Print_Area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Relationship Id="rId2" Type="http://schemas.openxmlformats.org/officeDocument/2006/relationships/hyperlink" Target="#Instructions!Print_Area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Instructions!Print_Area"/><Relationship Id="rId2" Type="http://schemas.openxmlformats.org/officeDocument/2006/relationships/hyperlink" Target="#Output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61480</xdr:colOff>
      <xdr:row>31</xdr:row>
      <xdr:rowOff>214053</xdr:rowOff>
    </xdr:from>
    <xdr:to>
      <xdr:col>14</xdr:col>
      <xdr:colOff>123825</xdr:colOff>
      <xdr:row>33</xdr:row>
      <xdr:rowOff>195943</xdr:rowOff>
    </xdr:to>
    <xdr:sp macro="" textlink="">
      <xdr:nvSpPr>
        <xdr:cNvPr id="6" name="Rectangle 5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6767080" y="9434253"/>
          <a:ext cx="2152402" cy="613261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500" b="1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Go to inputs section</a:t>
          </a:r>
          <a:endParaRPr lang="en-US" sz="1500" b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  <xdr:twoCellAnchor editAs="oneCell">
    <xdr:from>
      <xdr:col>0</xdr:col>
      <xdr:colOff>130619</xdr:colOff>
      <xdr:row>0</xdr:row>
      <xdr:rowOff>170324</xdr:rowOff>
    </xdr:from>
    <xdr:to>
      <xdr:col>2</xdr:col>
      <xdr:colOff>229624</xdr:colOff>
      <xdr:row>0</xdr:row>
      <xdr:rowOff>855519</xdr:rowOff>
    </xdr:to>
    <xdr:pic>
      <xdr:nvPicPr>
        <xdr:cNvPr id="5" name="Picture 4" descr="http://www.harper.k-state.edu/images/KSRE_logo_268.jpg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619" y="170324"/>
          <a:ext cx="1318205" cy="6851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714375</xdr:colOff>
      <xdr:row>0</xdr:row>
      <xdr:rowOff>0</xdr:rowOff>
    </xdr:from>
    <xdr:to>
      <xdr:col>15</xdr:col>
      <xdr:colOff>4329</xdr:colOff>
      <xdr:row>1</xdr:row>
      <xdr:rowOff>0</xdr:rowOff>
    </xdr:to>
    <xdr:pic>
      <xdr:nvPicPr>
        <xdr:cNvPr id="11" name="Picture 10" descr="http://www.picdeutschland.de/images/logos/piclogo.gif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8639175" y="0"/>
          <a:ext cx="775854" cy="100965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200025</xdr:colOff>
      <xdr:row>13</xdr:row>
      <xdr:rowOff>17145</xdr:rowOff>
    </xdr:from>
    <xdr:to>
      <xdr:col>12</xdr:col>
      <xdr:colOff>1118236</xdr:colOff>
      <xdr:row>14</xdr:row>
      <xdr:rowOff>180975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9763125" y="3484245"/>
          <a:ext cx="2129791" cy="415290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500" b="1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Back to instructions</a:t>
          </a:r>
          <a:endParaRPr lang="en-US" sz="1500" b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12</xdr:col>
      <xdr:colOff>1183005</xdr:colOff>
      <xdr:row>13</xdr:row>
      <xdr:rowOff>7620</xdr:rowOff>
    </xdr:from>
    <xdr:to>
      <xdr:col>14</xdr:col>
      <xdr:colOff>903515</xdr:colOff>
      <xdr:row>14</xdr:row>
      <xdr:rowOff>180975</xdr:rowOff>
    </xdr:to>
    <xdr:sp macro="" textlink="">
      <xdr:nvSpPr>
        <xdr:cNvPr id="3" name="Rectangl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11957685" y="3474720"/>
          <a:ext cx="2143670" cy="424815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500" b="1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Summary of Calculations</a:t>
          </a:r>
          <a:endParaRPr lang="en-US" sz="1500" b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1349829</xdr:colOff>
      <xdr:row>26</xdr:row>
      <xdr:rowOff>40821</xdr:rowOff>
    </xdr:from>
    <xdr:to>
      <xdr:col>8</xdr:col>
      <xdr:colOff>2595698</xdr:colOff>
      <xdr:row>27</xdr:row>
      <xdr:rowOff>216898</xdr:rowOff>
    </xdr:to>
    <xdr:sp macro="" textlink="">
      <xdr:nvSpPr>
        <xdr:cNvPr id="3" name="Rectangl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/>
      </xdr:nvSpPr>
      <xdr:spPr>
        <a:xfrm>
          <a:off x="10678886" y="6060621"/>
          <a:ext cx="1245869" cy="426448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500" b="1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Go to inputs</a:t>
          </a:r>
          <a:endParaRPr lang="en-US" sz="1500" b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9</xdr:col>
      <xdr:colOff>38644</xdr:colOff>
      <xdr:row>26</xdr:row>
      <xdr:rowOff>44903</xdr:rowOff>
    </xdr:from>
    <xdr:to>
      <xdr:col>9</xdr:col>
      <xdr:colOff>1273628</xdr:colOff>
      <xdr:row>27</xdr:row>
      <xdr:rowOff>218258</xdr:rowOff>
    </xdr:to>
    <xdr:sp macro="" textlink="">
      <xdr:nvSpPr>
        <xdr:cNvPr id="4" name="Rectangle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/>
      </xdr:nvSpPr>
      <xdr:spPr>
        <a:xfrm>
          <a:off x="11599273" y="6064703"/>
          <a:ext cx="1234984" cy="423726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500" b="1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Go to outputs</a:t>
          </a:r>
          <a:endParaRPr lang="en-US" sz="1500" b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10886</xdr:colOff>
      <xdr:row>25</xdr:row>
      <xdr:rowOff>119743</xdr:rowOff>
    </xdr:from>
    <xdr:to>
      <xdr:col>10</xdr:col>
      <xdr:colOff>0</xdr:colOff>
      <xdr:row>27</xdr:row>
      <xdr:rowOff>42726</xdr:rowOff>
    </xdr:to>
    <xdr:sp macro="" textlink="">
      <xdr:nvSpPr>
        <xdr:cNvPr id="3" name="Rectangl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/>
      </xdr:nvSpPr>
      <xdr:spPr>
        <a:xfrm>
          <a:off x="13726886" y="5638800"/>
          <a:ext cx="1415143" cy="423726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500" b="1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Go to outputs</a:t>
          </a:r>
          <a:endParaRPr lang="en-US" sz="1500" b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8</xdr:col>
      <xdr:colOff>1153885</xdr:colOff>
      <xdr:row>25</xdr:row>
      <xdr:rowOff>119743</xdr:rowOff>
    </xdr:from>
    <xdr:to>
      <xdr:col>8</xdr:col>
      <xdr:colOff>2667000</xdr:colOff>
      <xdr:row>27</xdr:row>
      <xdr:rowOff>45448</xdr:rowOff>
    </xdr:to>
    <xdr:sp macro="" textlink="">
      <xdr:nvSpPr>
        <xdr:cNvPr id="4" name="Rectangle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SpPr/>
      </xdr:nvSpPr>
      <xdr:spPr>
        <a:xfrm>
          <a:off x="12159342" y="5638800"/>
          <a:ext cx="1513115" cy="426448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500" b="1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Go to inputs</a:t>
          </a:r>
          <a:endParaRPr lang="en-US" sz="1500" b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828675</xdr:colOff>
      <xdr:row>130</xdr:row>
      <xdr:rowOff>123826</xdr:rowOff>
    </xdr:from>
    <xdr:to>
      <xdr:col>24</xdr:col>
      <xdr:colOff>419100</xdr:colOff>
      <xdr:row>162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634999</xdr:colOff>
      <xdr:row>15</xdr:row>
      <xdr:rowOff>228600</xdr:rowOff>
    </xdr:from>
    <xdr:to>
      <xdr:col>11</xdr:col>
      <xdr:colOff>874818</xdr:colOff>
      <xdr:row>17</xdr:row>
      <xdr:rowOff>132080</xdr:rowOff>
    </xdr:to>
    <xdr:sp macro="" textlink="">
      <xdr:nvSpPr>
        <xdr:cNvPr id="16" name="Rectangle 15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700-000010000000}"/>
            </a:ext>
          </a:extLst>
        </xdr:cNvPr>
        <xdr:cNvSpPr/>
      </xdr:nvSpPr>
      <xdr:spPr>
        <a:xfrm>
          <a:off x="11074399" y="3860800"/>
          <a:ext cx="2204086" cy="411480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500" b="1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Go to instructions</a:t>
          </a:r>
          <a:endParaRPr lang="en-US" sz="1500" b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9</xdr:col>
      <xdr:colOff>631371</xdr:colOff>
      <xdr:row>17</xdr:row>
      <xdr:rowOff>174171</xdr:rowOff>
    </xdr:from>
    <xdr:to>
      <xdr:col>11</xdr:col>
      <xdr:colOff>859972</xdr:colOff>
      <xdr:row>19</xdr:row>
      <xdr:rowOff>43543</xdr:rowOff>
    </xdr:to>
    <xdr:sp macro="" textlink="">
      <xdr:nvSpPr>
        <xdr:cNvPr id="3" name="Rectangl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SpPr/>
      </xdr:nvSpPr>
      <xdr:spPr>
        <a:xfrm>
          <a:off x="11930742" y="4267200"/>
          <a:ext cx="2177144" cy="370114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500" b="1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Go to inputs</a:t>
          </a:r>
          <a:endParaRPr lang="en-US" sz="1500" b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5443</xdr:colOff>
      <xdr:row>2</xdr:row>
      <xdr:rowOff>217714</xdr:rowOff>
    </xdr:from>
    <xdr:to>
      <xdr:col>7</xdr:col>
      <xdr:colOff>411979</xdr:colOff>
      <xdr:row>4</xdr:row>
      <xdr:rowOff>24371</xdr:rowOff>
    </xdr:to>
    <xdr:pic>
      <xdr:nvPicPr>
        <xdr:cNvPr id="2" name="Picture 1" descr="Office button image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2643" y="674914"/>
          <a:ext cx="406536" cy="2638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21772</xdr:colOff>
      <xdr:row>15</xdr:row>
      <xdr:rowOff>21772</xdr:rowOff>
    </xdr:from>
    <xdr:to>
      <xdr:col>4</xdr:col>
      <xdr:colOff>373714</xdr:colOff>
      <xdr:row>16</xdr:row>
      <xdr:rowOff>197395</xdr:rowOff>
    </xdr:to>
    <xdr:sp macro="" textlink="">
      <xdr:nvSpPr>
        <xdr:cNvPr id="3" name="Rectangl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SpPr/>
      </xdr:nvSpPr>
      <xdr:spPr>
        <a:xfrm>
          <a:off x="631372" y="3450772"/>
          <a:ext cx="2180742" cy="404223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500" b="1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Go to instructions</a:t>
          </a:r>
          <a:endParaRPr lang="en-US" sz="1500" b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200025</xdr:colOff>
      <xdr:row>13</xdr:row>
      <xdr:rowOff>17145</xdr:rowOff>
    </xdr:from>
    <xdr:to>
      <xdr:col>12</xdr:col>
      <xdr:colOff>1118236</xdr:colOff>
      <xdr:row>14</xdr:row>
      <xdr:rowOff>180975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/>
      </xdr:nvSpPr>
      <xdr:spPr>
        <a:xfrm>
          <a:off x="9267825" y="3503295"/>
          <a:ext cx="2194561" cy="411480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500" b="1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Back to instructions</a:t>
          </a:r>
          <a:endParaRPr lang="en-US" sz="1500" b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12</xdr:col>
      <xdr:colOff>1183005</xdr:colOff>
      <xdr:row>13</xdr:row>
      <xdr:rowOff>7620</xdr:rowOff>
    </xdr:from>
    <xdr:to>
      <xdr:col>14</xdr:col>
      <xdr:colOff>903515</xdr:colOff>
      <xdr:row>14</xdr:row>
      <xdr:rowOff>180975</xdr:rowOff>
    </xdr:to>
    <xdr:sp macro="" textlink="">
      <xdr:nvSpPr>
        <xdr:cNvPr id="4" name="Rectangle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SpPr/>
      </xdr:nvSpPr>
      <xdr:spPr>
        <a:xfrm>
          <a:off x="11720376" y="3458391"/>
          <a:ext cx="2158910" cy="423727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500" b="1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Summary of Calculations</a:t>
          </a:r>
          <a:endParaRPr lang="en-US" sz="1500" b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RESEARCH/Drug%20Use%20Sheets/Drug%20Cost%20Calculator%20V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ed drugs"/>
      <sheetName val="Growth Promotants"/>
      <sheetName val="Injectable"/>
      <sheetName val="Water"/>
      <sheetName val="Sheet3"/>
      <sheetName val="Feed Therapeutics"/>
      <sheetName val="In-Feed Production Usage"/>
    </sheetNames>
    <sheetDataSet>
      <sheetData sheetId="0">
        <row r="2">
          <cell r="C2" t="str">
            <v>Var rate</v>
          </cell>
          <cell r="D2" t="str">
            <v>Units, Lbs</v>
          </cell>
          <cell r="E2" t="str">
            <v>package</v>
          </cell>
          <cell r="F2" t="str">
            <v>pound</v>
          </cell>
          <cell r="G2" t="str">
            <v>gram</v>
          </cell>
          <cell r="H2" t="str">
            <v>per lb</v>
          </cell>
          <cell r="I2" t="str">
            <v>per ton</v>
          </cell>
          <cell r="J2" t="str">
            <v>addition</v>
          </cell>
        </row>
        <row r="3">
          <cell r="A3">
            <v>1</v>
          </cell>
          <cell r="B3" t="str">
            <v xml:space="preserve">Apramycin 150 </v>
          </cell>
          <cell r="C3" t="str">
            <v>F</v>
          </cell>
          <cell r="D3">
            <v>20</v>
          </cell>
          <cell r="E3">
            <v>40.71</v>
          </cell>
          <cell r="F3">
            <v>2.0354999999999999</v>
          </cell>
          <cell r="G3">
            <v>0.27139999999999997</v>
          </cell>
          <cell r="H3">
            <v>7.5</v>
          </cell>
          <cell r="I3">
            <v>20</v>
          </cell>
          <cell r="J3">
            <v>40.709999999999994</v>
          </cell>
        </row>
        <row r="4">
          <cell r="A4">
            <v>2</v>
          </cell>
          <cell r="B4" t="str">
            <v>BMD 60</v>
          </cell>
          <cell r="C4" t="str">
            <v xml:space="preserve">V </v>
          </cell>
          <cell r="D4">
            <v>50</v>
          </cell>
          <cell r="E4">
            <v>187.2</v>
          </cell>
          <cell r="F4">
            <v>3.7439999999999998</v>
          </cell>
          <cell r="G4">
            <v>6.2399999999999997E-2</v>
          </cell>
          <cell r="H4">
            <v>60</v>
          </cell>
          <cell r="I4">
            <v>3.25</v>
          </cell>
          <cell r="J4">
            <v>12.167999999999999</v>
          </cell>
        </row>
        <row r="5">
          <cell r="A5">
            <v>3</v>
          </cell>
          <cell r="B5" t="str">
            <v>CSP 250</v>
          </cell>
          <cell r="C5" t="str">
            <v>F</v>
          </cell>
          <cell r="D5">
            <v>50</v>
          </cell>
          <cell r="E5">
            <v>96.74</v>
          </cell>
          <cell r="F5">
            <v>1.9347999999999999</v>
          </cell>
          <cell r="G5">
            <v>3.8695999999999994E-2</v>
          </cell>
          <cell r="H5">
            <v>50</v>
          </cell>
          <cell r="I5">
            <v>5</v>
          </cell>
          <cell r="J5">
            <v>9.6739999999999995</v>
          </cell>
        </row>
        <row r="6">
          <cell r="A6">
            <v>4</v>
          </cell>
          <cell r="B6" t="str">
            <v>Aureomycin 50</v>
          </cell>
          <cell r="C6" t="str">
            <v>V</v>
          </cell>
          <cell r="D6">
            <v>50</v>
          </cell>
          <cell r="E6">
            <v>70.349999999999994</v>
          </cell>
          <cell r="F6">
            <v>1.4069999999999998</v>
          </cell>
          <cell r="G6">
            <v>2.8139999999999995E-2</v>
          </cell>
          <cell r="H6">
            <v>50</v>
          </cell>
          <cell r="I6">
            <v>8</v>
          </cell>
          <cell r="J6">
            <v>11.255999999999998</v>
          </cell>
        </row>
        <row r="7">
          <cell r="A7">
            <v>5</v>
          </cell>
          <cell r="B7" t="str">
            <v>CTC 50</v>
          </cell>
          <cell r="C7" t="str">
            <v>V</v>
          </cell>
          <cell r="D7">
            <v>50</v>
          </cell>
          <cell r="E7">
            <v>64.8</v>
          </cell>
          <cell r="F7">
            <v>1.296</v>
          </cell>
          <cell r="G7">
            <v>2.5920000000000002E-2</v>
          </cell>
          <cell r="H7">
            <v>50</v>
          </cell>
          <cell r="I7">
            <v>8</v>
          </cell>
          <cell r="J7">
            <v>10.368</v>
          </cell>
        </row>
        <row r="8">
          <cell r="A8">
            <v>6</v>
          </cell>
          <cell r="B8" t="str">
            <v>Denegard 10</v>
          </cell>
          <cell r="C8" t="str">
            <v>V</v>
          </cell>
          <cell r="D8">
            <v>35</v>
          </cell>
          <cell r="E8">
            <v>185.1</v>
          </cell>
          <cell r="F8">
            <v>5.2885714285714283</v>
          </cell>
          <cell r="G8">
            <v>0.5288571428571428</v>
          </cell>
          <cell r="H8">
            <v>10</v>
          </cell>
          <cell r="I8">
            <v>3.5</v>
          </cell>
          <cell r="J8">
            <v>18.509999999999998</v>
          </cell>
        </row>
        <row r="9">
          <cell r="A9">
            <v>7</v>
          </cell>
          <cell r="B9" t="str">
            <v>Linco 20</v>
          </cell>
          <cell r="C9" t="str">
            <v>V</v>
          </cell>
          <cell r="D9">
            <v>50</v>
          </cell>
          <cell r="E9">
            <v>275.41000000000003</v>
          </cell>
          <cell r="F9">
            <v>5.5082000000000004</v>
          </cell>
          <cell r="G9">
            <v>0.27541000000000004</v>
          </cell>
          <cell r="H9">
            <v>20</v>
          </cell>
          <cell r="I9">
            <v>10</v>
          </cell>
          <cell r="J9">
            <v>55.082000000000008</v>
          </cell>
        </row>
        <row r="10">
          <cell r="A10">
            <v>8</v>
          </cell>
          <cell r="B10" t="str">
            <v>Mecadox 2.5</v>
          </cell>
          <cell r="C10" t="str">
            <v>V</v>
          </cell>
          <cell r="D10">
            <v>40</v>
          </cell>
          <cell r="E10">
            <v>44.04</v>
          </cell>
          <cell r="F10">
            <v>1.101</v>
          </cell>
          <cell r="G10">
            <v>0.44040000000000001</v>
          </cell>
          <cell r="H10">
            <v>2.5</v>
          </cell>
          <cell r="I10">
            <v>20</v>
          </cell>
          <cell r="J10">
            <v>22.02</v>
          </cell>
        </row>
        <row r="11">
          <cell r="A11">
            <v>9</v>
          </cell>
          <cell r="B11" t="str">
            <v xml:space="preserve"> CDX/Ban 2.5/48</v>
          </cell>
          <cell r="C11" t="str">
            <v>F</v>
          </cell>
          <cell r="D11">
            <v>40</v>
          </cell>
          <cell r="E11">
            <v>74.69</v>
          </cell>
          <cell r="F11">
            <v>1.8672499999999999</v>
          </cell>
          <cell r="G11">
            <v>0.7468999999999999</v>
          </cell>
          <cell r="H11">
            <v>2.5</v>
          </cell>
          <cell r="I11">
            <v>20</v>
          </cell>
          <cell r="J11">
            <v>37.344999999999999</v>
          </cell>
        </row>
        <row r="12">
          <cell r="A12">
            <v>10</v>
          </cell>
          <cell r="B12" t="str">
            <v>* NeoTerra 10/10</v>
          </cell>
          <cell r="C12" t="str">
            <v>V</v>
          </cell>
          <cell r="D12">
            <v>50</v>
          </cell>
          <cell r="E12">
            <v>47.47</v>
          </cell>
          <cell r="F12">
            <v>0.94940000000000002</v>
          </cell>
          <cell r="G12">
            <v>9.4939999999999997E-2</v>
          </cell>
          <cell r="H12">
            <v>10</v>
          </cell>
          <cell r="I12">
            <v>10</v>
          </cell>
          <cell r="J12">
            <v>9.4939999999999998</v>
          </cell>
        </row>
        <row r="13">
          <cell r="A13">
            <v>11</v>
          </cell>
          <cell r="B13" t="str">
            <v>Terra 50</v>
          </cell>
          <cell r="C13" t="str">
            <v>V</v>
          </cell>
          <cell r="D13">
            <v>50</v>
          </cell>
          <cell r="E13">
            <v>65.290000000000006</v>
          </cell>
          <cell r="F13">
            <v>1.3058000000000001</v>
          </cell>
          <cell r="G13">
            <v>2.6116E-2</v>
          </cell>
          <cell r="H13">
            <v>50</v>
          </cell>
          <cell r="I13">
            <v>10</v>
          </cell>
          <cell r="J13">
            <v>13.058</v>
          </cell>
        </row>
        <row r="14">
          <cell r="A14">
            <v>12</v>
          </cell>
          <cell r="B14" t="str">
            <v>Pen 100</v>
          </cell>
          <cell r="C14" t="str">
            <v>V</v>
          </cell>
          <cell r="D14">
            <v>50</v>
          </cell>
          <cell r="E14">
            <v>496.71</v>
          </cell>
          <cell r="F14">
            <v>9.9341999999999988</v>
          </cell>
          <cell r="G14">
            <v>9.9341999999999986E-2</v>
          </cell>
          <cell r="H14">
            <v>100</v>
          </cell>
          <cell r="I14">
            <v>1</v>
          </cell>
          <cell r="J14">
            <v>9.9341999999999988</v>
          </cell>
        </row>
        <row r="15">
          <cell r="A15">
            <v>13</v>
          </cell>
          <cell r="B15" t="str">
            <v>Stafac 10</v>
          </cell>
          <cell r="C15" t="str">
            <v>V</v>
          </cell>
          <cell r="D15">
            <v>50</v>
          </cell>
          <cell r="E15">
            <v>93.71</v>
          </cell>
          <cell r="F15">
            <v>1.8741999999999999</v>
          </cell>
          <cell r="G15">
            <v>0.18741999999999998</v>
          </cell>
          <cell r="H15">
            <v>10</v>
          </cell>
          <cell r="I15">
            <v>2.5</v>
          </cell>
          <cell r="J15">
            <v>4.6854999999999993</v>
          </cell>
        </row>
        <row r="16">
          <cell r="A16">
            <v>14</v>
          </cell>
          <cell r="B16" t="str">
            <v>Tylan 10</v>
          </cell>
          <cell r="C16" t="str">
            <v>V</v>
          </cell>
          <cell r="D16">
            <v>50</v>
          </cell>
          <cell r="E16">
            <v>70.099999999999994</v>
          </cell>
          <cell r="F16">
            <v>1.4019999999999999</v>
          </cell>
          <cell r="G16">
            <v>0.14019999999999999</v>
          </cell>
          <cell r="H16">
            <v>10</v>
          </cell>
          <cell r="I16">
            <v>4</v>
          </cell>
          <cell r="J16">
            <v>5.6079999999999997</v>
          </cell>
        </row>
        <row r="17">
          <cell r="A17">
            <v>15</v>
          </cell>
          <cell r="B17" t="str">
            <v>Tylan 40</v>
          </cell>
          <cell r="C17" t="str">
            <v>V</v>
          </cell>
          <cell r="D17">
            <v>50</v>
          </cell>
          <cell r="E17">
            <v>260.39</v>
          </cell>
          <cell r="F17">
            <v>5.2077999999999998</v>
          </cell>
          <cell r="G17">
            <v>0.13019500000000001</v>
          </cell>
          <cell r="H17">
            <v>40</v>
          </cell>
          <cell r="I17">
            <v>1</v>
          </cell>
          <cell r="J17">
            <v>5.2077999999999998</v>
          </cell>
        </row>
        <row r="18">
          <cell r="A18">
            <v>16</v>
          </cell>
          <cell r="B18" t="str">
            <v>Tylan Sulfa G</v>
          </cell>
          <cell r="C18" t="str">
            <v>F</v>
          </cell>
          <cell r="D18">
            <v>50</v>
          </cell>
          <cell r="E18">
            <v>89.92</v>
          </cell>
          <cell r="F18">
            <v>1.7984</v>
          </cell>
          <cell r="G18">
            <v>8.992E-2</v>
          </cell>
          <cell r="H18">
            <v>20</v>
          </cell>
          <cell r="I18">
            <v>5</v>
          </cell>
          <cell r="J18">
            <v>8.9920000000000009</v>
          </cell>
        </row>
        <row r="19">
          <cell r="A19">
            <v>17</v>
          </cell>
          <cell r="B19" t="str">
            <v>Pulmotil</v>
          </cell>
          <cell r="C19" t="str">
            <v>V</v>
          </cell>
          <cell r="D19">
            <v>10</v>
          </cell>
          <cell r="E19">
            <v>64.650000000000006</v>
          </cell>
          <cell r="F19">
            <v>6.4650000000000007</v>
          </cell>
          <cell r="G19">
            <v>0.35718232044198894</v>
          </cell>
          <cell r="H19">
            <v>18.100000000000001</v>
          </cell>
          <cell r="I19">
            <v>10</v>
          </cell>
          <cell r="J19">
            <v>64.650000000000006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vmlDrawing" Target="../drawings/vmlDrawing2.vml"/><Relationship Id="rId3" Type="http://schemas.openxmlformats.org/officeDocument/2006/relationships/comments" Target="../comments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/>
  <dimension ref="A1:O37"/>
  <sheetViews>
    <sheetView showGridLines="0" tabSelected="1" zoomScale="80" zoomScaleNormal="80" zoomScaleSheetLayoutView="80" zoomScalePageLayoutView="80" workbookViewId="0">
      <pane ySplit="1" topLeftCell="A2" activePane="bottomLeft" state="frozen"/>
      <selection activeCell="F30" sqref="F30"/>
      <selection pane="bottomLeft" activeCell="A2" sqref="A2:B5"/>
    </sheetView>
  </sheetViews>
  <sheetFormatPr baseColWidth="10" defaultColWidth="8.83203125" defaultRowHeight="14" x14ac:dyDescent="0"/>
  <cols>
    <col min="14" max="14" width="12.6640625" customWidth="1"/>
  </cols>
  <sheetData>
    <row r="1" spans="1:15" ht="80" customHeight="1">
      <c r="A1" s="382" t="s">
        <v>299</v>
      </c>
      <c r="B1" s="382"/>
      <c r="C1" s="382"/>
      <c r="D1" s="382"/>
      <c r="E1" s="382"/>
      <c r="F1" s="382"/>
      <c r="G1" s="382"/>
      <c r="H1" s="382"/>
      <c r="I1" s="382"/>
      <c r="J1" s="382"/>
      <c r="K1" s="382"/>
      <c r="L1" s="382"/>
      <c r="M1" s="382"/>
      <c r="N1" s="382"/>
      <c r="O1" s="353"/>
    </row>
    <row r="2" spans="1:15" ht="25.25" customHeight="1">
      <c r="A2" s="383" t="s">
        <v>0</v>
      </c>
      <c r="B2" s="383"/>
      <c r="C2" s="386" t="s">
        <v>100</v>
      </c>
      <c r="D2" s="386"/>
      <c r="E2" s="386"/>
      <c r="F2" s="386"/>
      <c r="G2" s="386"/>
      <c r="H2" s="386"/>
      <c r="I2" s="386"/>
      <c r="J2" s="386"/>
      <c r="K2" s="386"/>
      <c r="L2" s="386"/>
      <c r="M2" s="386"/>
    </row>
    <row r="3" spans="1:15" ht="25.25" customHeight="1">
      <c r="A3" s="383"/>
      <c r="B3" s="383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</row>
    <row r="4" spans="1:15" ht="25.25" customHeight="1">
      <c r="A4" s="383"/>
      <c r="B4" s="383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</row>
    <row r="5" spans="1:15" ht="25.25" customHeight="1">
      <c r="A5" s="383"/>
      <c r="B5" s="383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</row>
    <row r="6" spans="1:15" ht="25.25" customHeight="1">
      <c r="A6" s="384" t="s">
        <v>5</v>
      </c>
      <c r="B6" s="384"/>
      <c r="C6" s="391" t="s">
        <v>252</v>
      </c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</row>
    <row r="7" spans="1:15" ht="25.25" customHeight="1">
      <c r="A7" s="384"/>
      <c r="B7" s="384"/>
      <c r="C7" s="392" t="s">
        <v>253</v>
      </c>
      <c r="D7" s="391"/>
      <c r="E7" s="391"/>
      <c r="F7" s="391"/>
      <c r="G7" s="391"/>
      <c r="H7" s="391"/>
      <c r="I7" s="391"/>
      <c r="J7" s="391"/>
      <c r="K7" s="391"/>
      <c r="L7" s="391"/>
      <c r="M7" s="391"/>
      <c r="N7" s="391"/>
      <c r="O7" s="391"/>
    </row>
    <row r="8" spans="1:15" ht="25.25" customHeight="1">
      <c r="A8" s="384"/>
      <c r="B8" s="384"/>
      <c r="C8" s="392" t="s">
        <v>254</v>
      </c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  <c r="O8" s="391"/>
    </row>
    <row r="9" spans="1:15" ht="25.25" customHeight="1">
      <c r="A9" s="384"/>
      <c r="B9" s="384"/>
      <c r="C9" s="392" t="s">
        <v>255</v>
      </c>
      <c r="D9" s="391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91"/>
    </row>
    <row r="10" spans="1:15" ht="25.25" customHeight="1">
      <c r="A10" s="352"/>
      <c r="B10" s="352"/>
      <c r="C10" s="395" t="s">
        <v>264</v>
      </c>
      <c r="D10" s="395"/>
      <c r="E10" s="395"/>
      <c r="F10" s="395"/>
      <c r="G10" s="395"/>
      <c r="H10" s="395"/>
      <c r="I10" s="395"/>
      <c r="J10" s="395"/>
      <c r="K10" s="395"/>
      <c r="L10" s="395"/>
      <c r="M10" s="395"/>
      <c r="N10" s="395"/>
      <c r="O10" s="350"/>
    </row>
    <row r="11" spans="1:15" ht="25.25" customHeight="1">
      <c r="A11" s="360"/>
      <c r="B11" s="360"/>
      <c r="C11" s="396" t="s">
        <v>257</v>
      </c>
      <c r="D11" s="396"/>
      <c r="E11" s="396"/>
      <c r="F11" s="396"/>
      <c r="G11" s="396"/>
      <c r="H11" s="396"/>
      <c r="I11" s="396"/>
      <c r="J11" s="396"/>
      <c r="K11" s="396"/>
      <c r="L11" s="396"/>
      <c r="M11" s="396"/>
      <c r="N11" s="396"/>
      <c r="O11" s="359"/>
    </row>
    <row r="12" spans="1:15" ht="25.25" customHeight="1">
      <c r="A12" s="385" t="s">
        <v>6</v>
      </c>
      <c r="B12" s="385"/>
      <c r="C12" s="389" t="s">
        <v>256</v>
      </c>
      <c r="D12" s="389"/>
      <c r="E12" s="389"/>
      <c r="F12" s="389"/>
      <c r="G12" s="389"/>
      <c r="H12" s="389"/>
      <c r="I12" s="389"/>
      <c r="J12" s="389"/>
      <c r="K12" s="389"/>
      <c r="L12" s="389"/>
      <c r="M12" s="389"/>
      <c r="N12" s="389"/>
      <c r="O12" s="389"/>
    </row>
    <row r="13" spans="1:15" ht="25.25" customHeight="1">
      <c r="A13" s="385"/>
      <c r="B13" s="385"/>
      <c r="C13" s="390" t="s">
        <v>101</v>
      </c>
      <c r="D13" s="390"/>
      <c r="E13" s="390"/>
      <c r="F13" s="390"/>
      <c r="G13" s="390"/>
      <c r="H13" s="390"/>
      <c r="I13" s="390"/>
      <c r="J13" s="390"/>
      <c r="K13" s="390"/>
      <c r="L13" s="390"/>
      <c r="M13" s="390"/>
      <c r="N13" s="390"/>
      <c r="O13" s="390"/>
    </row>
    <row r="14" spans="1:15" ht="25.25" customHeight="1">
      <c r="A14" s="385"/>
      <c r="B14" s="385"/>
      <c r="C14" s="390" t="s">
        <v>231</v>
      </c>
      <c r="D14" s="390"/>
      <c r="E14" s="390"/>
      <c r="F14" s="390"/>
      <c r="G14" s="390"/>
      <c r="H14" s="390"/>
      <c r="I14" s="390"/>
      <c r="J14" s="390"/>
      <c r="K14" s="390"/>
      <c r="L14" s="390"/>
      <c r="M14" s="390"/>
      <c r="N14" s="390"/>
      <c r="O14" s="390"/>
    </row>
    <row r="15" spans="1:15" ht="25.25" customHeight="1">
      <c r="A15" s="385"/>
      <c r="B15" s="385"/>
      <c r="C15" s="390" t="s">
        <v>232</v>
      </c>
      <c r="D15" s="390"/>
      <c r="E15" s="390"/>
      <c r="F15" s="390"/>
      <c r="G15" s="390"/>
      <c r="H15" s="390"/>
      <c r="I15" s="390"/>
      <c r="J15" s="390"/>
      <c r="K15" s="390"/>
      <c r="L15" s="390"/>
      <c r="M15" s="390"/>
      <c r="N15" s="390"/>
      <c r="O15" s="390"/>
    </row>
    <row r="16" spans="1:15" ht="25.25" customHeight="1">
      <c r="A16" s="385"/>
      <c r="B16" s="385"/>
      <c r="C16" s="390" t="s">
        <v>251</v>
      </c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</row>
    <row r="17" spans="1:15" ht="25.25" customHeight="1">
      <c r="A17" s="385"/>
      <c r="B17" s="385"/>
      <c r="C17" s="390" t="s">
        <v>233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</row>
    <row r="18" spans="1:15" ht="25.25" customHeight="1">
      <c r="A18" s="385"/>
      <c r="B18" s="385"/>
      <c r="C18" s="390" t="s">
        <v>234</v>
      </c>
      <c r="D18" s="390"/>
      <c r="E18" s="390"/>
      <c r="F18" s="390"/>
      <c r="G18" s="390"/>
      <c r="H18" s="390"/>
      <c r="I18" s="390"/>
      <c r="J18" s="390"/>
      <c r="K18" s="390"/>
      <c r="L18" s="390"/>
      <c r="M18" s="390"/>
      <c r="N18" s="390"/>
      <c r="O18" s="390"/>
    </row>
    <row r="19" spans="1:15" ht="25.25" customHeight="1">
      <c r="A19" s="385"/>
      <c r="B19" s="385"/>
      <c r="C19" s="390" t="s">
        <v>235</v>
      </c>
      <c r="D19" s="390"/>
      <c r="E19" s="390"/>
      <c r="F19" s="390"/>
      <c r="G19" s="390"/>
      <c r="H19" s="390"/>
      <c r="I19" s="390"/>
      <c r="J19" s="390"/>
      <c r="K19" s="390"/>
      <c r="L19" s="390"/>
      <c r="M19" s="390"/>
      <c r="N19" s="390"/>
      <c r="O19" s="390"/>
    </row>
    <row r="20" spans="1:15" ht="25.25" customHeight="1">
      <c r="A20" s="385"/>
      <c r="B20" s="385"/>
      <c r="C20" s="390" t="s">
        <v>236</v>
      </c>
      <c r="D20" s="390"/>
      <c r="E20" s="390"/>
      <c r="F20" s="390"/>
      <c r="G20" s="390"/>
      <c r="H20" s="390"/>
      <c r="I20" s="390"/>
      <c r="J20" s="390"/>
      <c r="K20" s="390"/>
      <c r="L20" s="390"/>
      <c r="M20" s="390"/>
      <c r="N20" s="390"/>
      <c r="O20" s="390"/>
    </row>
    <row r="21" spans="1:15" ht="25.25" customHeight="1">
      <c r="A21" s="385"/>
      <c r="B21" s="385"/>
      <c r="C21" s="390" t="s">
        <v>237</v>
      </c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</row>
    <row r="22" spans="1:15" ht="25.25" customHeight="1">
      <c r="A22" s="385"/>
      <c r="B22" s="385"/>
      <c r="C22" s="388" t="s">
        <v>258</v>
      </c>
      <c r="D22" s="388"/>
      <c r="E22" s="388"/>
      <c r="F22" s="388"/>
      <c r="G22" s="388"/>
      <c r="H22" s="388"/>
      <c r="I22" s="388"/>
      <c r="J22" s="388"/>
      <c r="K22" s="388"/>
      <c r="L22" s="388"/>
      <c r="M22" s="388"/>
      <c r="N22" s="388"/>
    </row>
    <row r="23" spans="1:15" ht="25.25" customHeight="1">
      <c r="A23" s="385"/>
      <c r="B23" s="385"/>
      <c r="C23" s="390" t="s">
        <v>249</v>
      </c>
      <c r="D23" s="390"/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</row>
    <row r="24" spans="1:15" ht="25.25" customHeight="1">
      <c r="A24" s="385"/>
      <c r="B24" s="385"/>
      <c r="C24" s="390" t="s">
        <v>250</v>
      </c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</row>
    <row r="25" spans="1:15" ht="25.25" customHeight="1">
      <c r="A25" s="385"/>
      <c r="B25" s="385"/>
      <c r="C25" s="394" t="s">
        <v>248</v>
      </c>
      <c r="D25" s="394"/>
      <c r="E25" s="394"/>
      <c r="F25" s="394"/>
      <c r="G25" s="394"/>
      <c r="H25" s="394"/>
      <c r="I25" s="394"/>
      <c r="J25" s="394"/>
      <c r="K25" s="394"/>
      <c r="L25" s="394"/>
      <c r="M25" s="394"/>
      <c r="N25" s="394"/>
      <c r="O25" s="394"/>
    </row>
    <row r="26" spans="1:15" ht="25.25" customHeight="1">
      <c r="A26" s="385"/>
      <c r="B26" s="385"/>
      <c r="C26" s="390" t="s">
        <v>259</v>
      </c>
      <c r="D26" s="390"/>
      <c r="E26" s="390"/>
      <c r="F26" s="390"/>
      <c r="G26" s="390"/>
      <c r="H26" s="390"/>
      <c r="I26" s="390"/>
      <c r="J26" s="390"/>
      <c r="K26" s="390"/>
      <c r="L26" s="390"/>
      <c r="M26" s="390"/>
      <c r="N26" s="390"/>
      <c r="O26" s="390"/>
    </row>
    <row r="27" spans="1:15" ht="25.25" customHeight="1">
      <c r="A27" s="385"/>
      <c r="B27" s="385"/>
      <c r="C27" s="390" t="s">
        <v>263</v>
      </c>
      <c r="D27" s="390"/>
      <c r="E27" s="390"/>
      <c r="F27" s="390"/>
      <c r="G27" s="390"/>
      <c r="H27" s="390"/>
      <c r="I27" s="390"/>
      <c r="J27" s="390"/>
      <c r="K27" s="390"/>
      <c r="L27" s="390"/>
      <c r="M27" s="390"/>
      <c r="N27" s="390"/>
      <c r="O27" s="390"/>
    </row>
    <row r="28" spans="1:15" ht="25.25" customHeight="1">
      <c r="A28" s="385"/>
      <c r="B28" s="385"/>
      <c r="C28" s="390" t="s">
        <v>261</v>
      </c>
      <c r="D28" s="390"/>
      <c r="E28" s="390"/>
      <c r="F28" s="390"/>
      <c r="G28" s="390"/>
      <c r="H28" s="390"/>
      <c r="I28" s="390"/>
      <c r="J28" s="390"/>
      <c r="K28" s="390"/>
      <c r="L28" s="390"/>
      <c r="M28" s="390"/>
      <c r="N28" s="390"/>
      <c r="O28" s="390"/>
    </row>
    <row r="29" spans="1:15" ht="25.25" customHeight="1">
      <c r="A29" s="385"/>
      <c r="B29" s="385"/>
      <c r="C29" s="390" t="s">
        <v>262</v>
      </c>
      <c r="D29" s="390"/>
      <c r="E29" s="390"/>
      <c r="F29" s="390"/>
      <c r="G29" s="390"/>
      <c r="H29" s="390"/>
      <c r="I29" s="390"/>
      <c r="J29" s="390"/>
      <c r="K29" s="390"/>
      <c r="L29" s="390"/>
      <c r="M29" s="390"/>
      <c r="N29" s="390"/>
      <c r="O29" s="390"/>
    </row>
    <row r="30" spans="1:15" ht="25.25" customHeight="1">
      <c r="A30" s="385"/>
      <c r="B30" s="385"/>
      <c r="C30" s="351" t="s">
        <v>122</v>
      </c>
      <c r="D30" s="347"/>
      <c r="E30" s="347"/>
      <c r="F30" s="347"/>
      <c r="G30" s="347"/>
      <c r="H30" s="347"/>
      <c r="I30" s="347"/>
      <c r="J30" s="347"/>
      <c r="K30" s="347"/>
      <c r="L30" s="347"/>
      <c r="M30" s="347"/>
      <c r="N30" s="347"/>
      <c r="O30" s="347"/>
    </row>
    <row r="31" spans="1:15" ht="25.25" customHeight="1">
      <c r="A31" s="385"/>
      <c r="B31" s="385"/>
      <c r="C31" s="9" t="s">
        <v>260</v>
      </c>
      <c r="K31" s="8"/>
    </row>
    <row r="32" spans="1:15" ht="25.25" customHeight="1">
      <c r="A32" s="7"/>
      <c r="B32" s="7"/>
      <c r="D32" s="10"/>
      <c r="E32" s="10"/>
      <c r="F32" s="10"/>
      <c r="G32" s="10"/>
      <c r="H32" s="10"/>
      <c r="I32" s="10"/>
      <c r="J32" s="10"/>
      <c r="K32" s="8"/>
    </row>
    <row r="33" spans="1:12" ht="25.25" customHeight="1">
      <c r="A33" s="1"/>
      <c r="B33" s="1"/>
      <c r="C33" s="2"/>
      <c r="D33" s="2"/>
      <c r="E33" s="2"/>
      <c r="F33" s="2"/>
      <c r="G33" s="2"/>
      <c r="H33" s="2"/>
      <c r="I33" s="2"/>
      <c r="J33" s="2"/>
      <c r="K33" s="2"/>
    </row>
    <row r="34" spans="1:12" ht="25.25" customHeight="1">
      <c r="A34" s="1"/>
      <c r="B34" s="1"/>
      <c r="C34" s="2"/>
      <c r="D34" s="2"/>
      <c r="E34" s="2"/>
      <c r="F34" s="2"/>
      <c r="G34" s="2"/>
      <c r="H34" s="2"/>
      <c r="I34" s="2"/>
      <c r="J34" s="2"/>
      <c r="K34" s="2"/>
    </row>
    <row r="35" spans="1:12" ht="25.25" customHeight="1">
      <c r="A35" s="1"/>
      <c r="B35" s="1"/>
      <c r="C35" s="2"/>
      <c r="D35" s="2"/>
      <c r="E35" s="2"/>
      <c r="F35" s="2"/>
      <c r="G35" s="2"/>
      <c r="H35" s="2"/>
      <c r="I35" s="2"/>
      <c r="J35" s="2"/>
      <c r="K35" s="2"/>
    </row>
    <row r="36" spans="1:12" ht="25.25" customHeight="1">
      <c r="A36" s="1"/>
      <c r="B36" s="1"/>
      <c r="C36" s="393" t="s">
        <v>139</v>
      </c>
      <c r="D36" s="393"/>
      <c r="E36" s="393"/>
      <c r="F36" s="393"/>
      <c r="G36" s="393"/>
      <c r="H36" s="393"/>
      <c r="I36" s="393"/>
      <c r="J36" s="393"/>
      <c r="K36" s="393"/>
      <c r="L36" s="393"/>
    </row>
    <row r="37" spans="1:12" ht="25.25" customHeight="1">
      <c r="A37" s="1"/>
      <c r="B37" s="1"/>
      <c r="C37" s="393"/>
      <c r="D37" s="393"/>
      <c r="E37" s="393"/>
      <c r="F37" s="393"/>
      <c r="G37" s="393"/>
      <c r="H37" s="393"/>
      <c r="I37" s="393"/>
      <c r="J37" s="393"/>
      <c r="K37" s="393"/>
      <c r="L37" s="393"/>
    </row>
  </sheetData>
  <mergeCells count="30">
    <mergeCell ref="C7:O7"/>
    <mergeCell ref="C9:O9"/>
    <mergeCell ref="C8:O8"/>
    <mergeCell ref="C36:L37"/>
    <mergeCell ref="C14:O14"/>
    <mergeCell ref="C15:O15"/>
    <mergeCell ref="C16:O16"/>
    <mergeCell ref="C19:O19"/>
    <mergeCell ref="C25:O25"/>
    <mergeCell ref="C26:O26"/>
    <mergeCell ref="C28:O28"/>
    <mergeCell ref="C27:O27"/>
    <mergeCell ref="C10:N10"/>
    <mergeCell ref="C11:N11"/>
    <mergeCell ref="A1:N1"/>
    <mergeCell ref="A2:B5"/>
    <mergeCell ref="A6:B9"/>
    <mergeCell ref="A12:B31"/>
    <mergeCell ref="C2:M5"/>
    <mergeCell ref="C22:N22"/>
    <mergeCell ref="C12:O12"/>
    <mergeCell ref="C13:O13"/>
    <mergeCell ref="C18:O18"/>
    <mergeCell ref="C17:O17"/>
    <mergeCell ref="C20:O20"/>
    <mergeCell ref="C21:O21"/>
    <mergeCell ref="C23:O23"/>
    <mergeCell ref="C29:O29"/>
    <mergeCell ref="C24:O24"/>
    <mergeCell ref="C6:O6"/>
  </mergeCells>
  <hyperlinks>
    <hyperlink ref="C25:N25" location="Installing_Solver!A1" display="2.2 If you don’t have solver installed please click here for instructions"/>
  </hyperlinks>
  <pageMargins left="0.7" right="0.7" top="0.75" bottom="0.75" header="0.3" footer="0.3"/>
  <pageSetup scale="5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 enableFormatConditionsCalculation="0"/>
  <dimension ref="A1:CJ525"/>
  <sheetViews>
    <sheetView showGridLines="0" topLeftCell="D1" zoomScale="70" zoomScaleNormal="70" zoomScaleSheetLayoutView="70" zoomScalePageLayoutView="70" workbookViewId="0">
      <selection activeCell="D2" sqref="D2:I2"/>
    </sheetView>
  </sheetViews>
  <sheetFormatPr baseColWidth="10" defaultColWidth="8.83203125" defaultRowHeight="17" x14ac:dyDescent="0"/>
  <cols>
    <col min="1" max="1" width="10.6640625" style="235" hidden="1" customWidth="1"/>
    <col min="2" max="2" width="10.6640625" style="3" hidden="1" customWidth="1"/>
    <col min="3" max="3" width="10.6640625" style="238" hidden="1" customWidth="1"/>
    <col min="4" max="4" width="10.6640625" style="100" customWidth="1"/>
    <col min="5" max="6" width="25.6640625" customWidth="1"/>
    <col min="7" max="7" width="18.6640625" customWidth="1"/>
    <col min="8" max="8" width="22.6640625" customWidth="1"/>
    <col min="9" max="9" width="18.33203125" style="112" hidden="1" customWidth="1"/>
    <col min="10" max="10" width="18.33203125" style="112" customWidth="1"/>
    <col min="11" max="13" width="17.6640625" customWidth="1"/>
    <col min="14" max="14" width="17.6640625" style="90" customWidth="1"/>
    <col min="15" max="17" width="17.6640625" customWidth="1"/>
    <col min="18" max="25" width="20.6640625" hidden="1" customWidth="1"/>
    <col min="26" max="26" width="20.6640625" style="25" hidden="1" customWidth="1"/>
    <col min="27" max="27" width="20.6640625" style="85" hidden="1" customWidth="1"/>
    <col min="28" max="32" width="20.6640625" hidden="1" customWidth="1"/>
    <col min="33" max="35" width="20.6640625" style="15" hidden="1" customWidth="1"/>
    <col min="36" max="40" width="20.6640625" style="5" hidden="1" customWidth="1"/>
    <col min="41" max="41" width="20.6640625" style="17" hidden="1" customWidth="1"/>
    <col min="42" max="43" width="15.6640625" style="17" hidden="1" customWidth="1"/>
    <col min="44" max="44" width="15.6640625" hidden="1" customWidth="1"/>
    <col min="45" max="45" width="3.1640625" hidden="1" customWidth="1"/>
    <col min="46" max="57" width="15.6640625" style="17" hidden="1" customWidth="1"/>
    <col min="58" max="58" width="8.83203125" hidden="1" customWidth="1"/>
    <col min="59" max="60" width="12.6640625" hidden="1" customWidth="1"/>
    <col min="61" max="61" width="8.83203125" hidden="1" customWidth="1"/>
    <col min="62" max="70" width="18.6640625" hidden="1" customWidth="1"/>
    <col min="71" max="72" width="8.83203125" hidden="1" customWidth="1"/>
    <col min="73" max="73" width="8.83203125" style="65" hidden="1" customWidth="1"/>
    <col min="74" max="74" width="8.83203125" hidden="1" customWidth="1"/>
    <col min="75" max="86" width="15.6640625" hidden="1" customWidth="1"/>
  </cols>
  <sheetData>
    <row r="1" spans="1:86" ht="35.5" customHeight="1">
      <c r="D1" s="423" t="s">
        <v>300</v>
      </c>
      <c r="E1" s="424"/>
      <c r="F1" s="424"/>
      <c r="G1" s="424"/>
      <c r="H1" s="424"/>
      <c r="I1" s="424"/>
      <c r="J1" s="424"/>
      <c r="K1" s="424"/>
      <c r="L1" s="424"/>
      <c r="M1" s="424"/>
      <c r="N1" s="424"/>
      <c r="O1" s="424"/>
      <c r="P1" s="424"/>
      <c r="Q1" s="425"/>
    </row>
    <row r="2" spans="1:86" ht="20" customHeight="1" thickBot="1">
      <c r="D2" s="426" t="s">
        <v>46</v>
      </c>
      <c r="E2" s="427"/>
      <c r="F2" s="427"/>
      <c r="G2" s="427"/>
      <c r="H2" s="427"/>
      <c r="I2" s="427"/>
      <c r="J2" s="276"/>
      <c r="K2" s="427" t="s">
        <v>124</v>
      </c>
      <c r="L2" s="427"/>
      <c r="M2" s="427"/>
      <c r="N2" s="427"/>
      <c r="O2" s="427"/>
      <c r="P2" s="427"/>
      <c r="Q2" s="428"/>
      <c r="U2" s="405" t="s">
        <v>51</v>
      </c>
      <c r="V2" s="405"/>
      <c r="W2" s="405"/>
      <c r="X2" s="405"/>
      <c r="Y2" s="405"/>
      <c r="Z2" s="405"/>
      <c r="AA2" s="405"/>
      <c r="AB2" s="405"/>
      <c r="AD2" s="405" t="s">
        <v>74</v>
      </c>
      <c r="AE2" s="405"/>
      <c r="AF2" s="23"/>
      <c r="AG2" s="405" t="s">
        <v>150</v>
      </c>
      <c r="AH2" s="405"/>
      <c r="AI2" s="405"/>
      <c r="AJ2" s="405"/>
      <c r="AK2" s="405"/>
      <c r="AL2" s="405"/>
      <c r="AM2" s="405"/>
      <c r="AN2" s="405"/>
      <c r="AO2" s="405"/>
      <c r="AP2" s="4"/>
      <c r="AQ2" s="405" t="s">
        <v>151</v>
      </c>
      <c r="AR2" s="405"/>
      <c r="AS2" s="405"/>
      <c r="AT2" s="405"/>
      <c r="AU2" s="405"/>
      <c r="AV2" s="405"/>
      <c r="AW2" s="405"/>
      <c r="AX2" s="405"/>
      <c r="AY2" s="405"/>
      <c r="AZ2" s="405"/>
      <c r="BA2" s="405"/>
      <c r="BB2" s="405"/>
      <c r="BC2" s="405"/>
      <c r="BD2" s="405"/>
      <c r="BE2" s="405"/>
      <c r="BG2" s="405" t="s">
        <v>74</v>
      </c>
      <c r="BH2" s="405"/>
      <c r="BI2" s="23"/>
      <c r="BJ2" s="405" t="s">
        <v>88</v>
      </c>
      <c r="BK2" s="405"/>
      <c r="BL2" s="405"/>
      <c r="BM2" s="405"/>
      <c r="BN2" s="405"/>
      <c r="BO2" s="405"/>
      <c r="BP2" s="405"/>
      <c r="BQ2" s="405"/>
      <c r="BR2" s="405"/>
      <c r="BS2" s="58"/>
      <c r="BT2" s="405" t="s">
        <v>89</v>
      </c>
      <c r="BU2" s="405"/>
      <c r="BV2" s="405"/>
      <c r="BW2" s="405"/>
      <c r="BX2" s="405"/>
      <c r="BY2" s="405"/>
      <c r="BZ2" s="405"/>
      <c r="CA2" s="405"/>
      <c r="CB2" s="405"/>
      <c r="CC2" s="405"/>
      <c r="CD2" s="405"/>
      <c r="CE2" s="405"/>
      <c r="CF2" s="405"/>
      <c r="CG2" s="405"/>
      <c r="CH2" s="405"/>
    </row>
    <row r="3" spans="1:86" ht="20" customHeight="1">
      <c r="D3" s="112">
        <v>1</v>
      </c>
      <c r="E3" s="144" t="s">
        <v>20</v>
      </c>
      <c r="F3" s="145"/>
      <c r="G3" s="322">
        <f>'Inputs - Metric'!G3/2.2046</f>
        <v>0</v>
      </c>
      <c r="H3" s="361" t="str">
        <f>IF((AND($H$13=2,$G$4=0,$G$3&gt;0)), "Select Live in cell G13", "")</f>
        <v/>
      </c>
      <c r="I3" s="77"/>
      <c r="J3" s="77"/>
      <c r="K3" s="77"/>
      <c r="L3" s="415" t="s">
        <v>91</v>
      </c>
      <c r="M3" s="416"/>
      <c r="N3" s="329">
        <f>'Inputs - Metric'!N3</f>
        <v>6</v>
      </c>
      <c r="O3" s="77"/>
      <c r="P3" s="77"/>
      <c r="Q3" s="77"/>
      <c r="R3" s="403" t="s">
        <v>50</v>
      </c>
      <c r="S3" s="403"/>
      <c r="U3" s="69"/>
      <c r="V3" s="69"/>
      <c r="W3" s="81"/>
      <c r="X3" s="69"/>
      <c r="Y3" s="69"/>
      <c r="Z3" s="69"/>
      <c r="AA3" s="86"/>
      <c r="AB3" s="69"/>
      <c r="AD3" s="69"/>
      <c r="AE3" s="69"/>
      <c r="AF3" s="76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6"/>
      <c r="AR3" s="66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G3" s="69"/>
      <c r="BH3" s="69"/>
      <c r="BI3" s="76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6"/>
      <c r="BU3" s="267"/>
      <c r="BV3" s="267"/>
      <c r="BW3" s="267"/>
      <c r="BX3" s="267"/>
      <c r="BY3" s="267"/>
      <c r="BZ3" s="267"/>
      <c r="CA3" s="267"/>
      <c r="CB3" s="267"/>
      <c r="CC3" s="267"/>
      <c r="CD3" s="267"/>
      <c r="CE3" s="267"/>
      <c r="CF3" s="267"/>
      <c r="CG3" s="267"/>
      <c r="CH3" s="267"/>
    </row>
    <row r="4" spans="1:86" ht="20" customHeight="1">
      <c r="D4" s="112">
        <v>2</v>
      </c>
      <c r="E4" s="415" t="s">
        <v>7</v>
      </c>
      <c r="F4" s="416"/>
      <c r="G4" s="322">
        <f>'Inputs - Metric'!G4/2.2046</f>
        <v>0</v>
      </c>
      <c r="H4" s="361" t="str">
        <f>IF((AND($H$13=1,$G$3=0,$G$4&gt;0)), "Select Carcass in cell G13", "")</f>
        <v/>
      </c>
      <c r="R4" s="21" t="s">
        <v>48</v>
      </c>
      <c r="S4" s="21">
        <v>1</v>
      </c>
      <c r="U4" s="19" t="s">
        <v>4</v>
      </c>
      <c r="V4" s="19" t="s">
        <v>52</v>
      </c>
      <c r="W4" s="19" t="s">
        <v>95</v>
      </c>
      <c r="X4" s="19" t="s">
        <v>54</v>
      </c>
      <c r="Y4" s="19" t="s">
        <v>56</v>
      </c>
      <c r="Z4" s="26" t="s">
        <v>57</v>
      </c>
      <c r="AA4" s="87" t="s">
        <v>53</v>
      </c>
      <c r="AB4" s="19" t="s">
        <v>55</v>
      </c>
      <c r="AD4" s="268" t="s">
        <v>10</v>
      </c>
      <c r="AE4" s="268" t="s">
        <v>2</v>
      </c>
      <c r="AF4" s="19"/>
      <c r="AG4" s="80" t="s">
        <v>4</v>
      </c>
      <c r="AH4" s="405" t="s">
        <v>52</v>
      </c>
      <c r="AI4" s="405"/>
      <c r="AJ4" s="80" t="s">
        <v>32</v>
      </c>
      <c r="AK4" s="80" t="s">
        <v>60</v>
      </c>
      <c r="AL4" s="80" t="s">
        <v>61</v>
      </c>
      <c r="AM4" s="80" t="s">
        <v>62</v>
      </c>
      <c r="AN4" s="80" t="s">
        <v>31</v>
      </c>
      <c r="AO4" s="80" t="s">
        <v>63</v>
      </c>
      <c r="AP4" s="19"/>
      <c r="AQ4" s="81" t="s">
        <v>54</v>
      </c>
      <c r="AR4" s="81" t="s">
        <v>58</v>
      </c>
      <c r="AS4" s="24"/>
      <c r="AT4" s="24" t="s">
        <v>4</v>
      </c>
      <c r="AU4" s="24" t="s">
        <v>64</v>
      </c>
      <c r="AV4" s="405" t="s">
        <v>73</v>
      </c>
      <c r="AW4" s="405"/>
      <c r="AX4" s="405"/>
      <c r="AY4" s="405"/>
      <c r="AZ4" s="24" t="s">
        <v>4</v>
      </c>
      <c r="BA4" s="24" t="s">
        <v>4</v>
      </c>
      <c r="BB4" s="405" t="s">
        <v>73</v>
      </c>
      <c r="BC4" s="405"/>
      <c r="BD4" s="405"/>
      <c r="BE4" s="405"/>
      <c r="BG4" s="19" t="s">
        <v>54</v>
      </c>
      <c r="BH4" s="19" t="s">
        <v>85</v>
      </c>
      <c r="BI4" s="19"/>
      <c r="BJ4" s="19" t="s">
        <v>4</v>
      </c>
      <c r="BK4" s="422" t="s">
        <v>52</v>
      </c>
      <c r="BL4" s="422"/>
      <c r="BM4" s="19" t="s">
        <v>32</v>
      </c>
      <c r="BN4" s="19" t="s">
        <v>60</v>
      </c>
      <c r="BO4" s="19" t="s">
        <v>61</v>
      </c>
      <c r="BP4" s="19" t="s">
        <v>62</v>
      </c>
      <c r="BQ4" s="19" t="s">
        <v>31</v>
      </c>
      <c r="BR4" s="19" t="s">
        <v>63</v>
      </c>
      <c r="BS4" s="19"/>
      <c r="BT4" s="66" t="s">
        <v>54</v>
      </c>
      <c r="BU4" s="275" t="s">
        <v>87</v>
      </c>
      <c r="BV4" s="82"/>
      <c r="BW4" s="82" t="s">
        <v>4</v>
      </c>
      <c r="BX4" s="82" t="s">
        <v>64</v>
      </c>
      <c r="BY4" s="414" t="s">
        <v>73</v>
      </c>
      <c r="BZ4" s="414"/>
      <c r="CA4" s="414"/>
      <c r="CB4" s="414"/>
      <c r="CC4" s="82" t="s">
        <v>4</v>
      </c>
      <c r="CD4" s="82" t="s">
        <v>4</v>
      </c>
      <c r="CE4" s="414" t="s">
        <v>73</v>
      </c>
      <c r="CF4" s="414"/>
      <c r="CG4" s="414"/>
      <c r="CH4" s="414"/>
    </row>
    <row r="5" spans="1:86" ht="20" customHeight="1" thickBot="1">
      <c r="D5" s="112">
        <v>3</v>
      </c>
      <c r="E5" s="415" t="s">
        <v>41</v>
      </c>
      <c r="F5" s="416"/>
      <c r="G5" s="323">
        <f>'Inputs - Metric'!G5</f>
        <v>0</v>
      </c>
      <c r="H5" s="3"/>
      <c r="I5" s="417"/>
      <c r="J5" s="417" t="s">
        <v>4</v>
      </c>
      <c r="K5" s="417" t="s">
        <v>11</v>
      </c>
      <c r="L5" s="417" t="s">
        <v>28</v>
      </c>
      <c r="M5" s="418" t="s">
        <v>47</v>
      </c>
      <c r="N5" s="420" t="s">
        <v>90</v>
      </c>
      <c r="O5" s="420"/>
      <c r="P5" s="421" t="s">
        <v>274</v>
      </c>
      <c r="Q5" s="421" t="s">
        <v>81</v>
      </c>
      <c r="R5" s="21" t="s">
        <v>49</v>
      </c>
      <c r="S5" s="21">
        <v>2</v>
      </c>
      <c r="U5" s="20">
        <v>1</v>
      </c>
      <c r="V5" s="20">
        <v>1</v>
      </c>
      <c r="W5" s="20">
        <v>1</v>
      </c>
      <c r="X5" s="20">
        <f>SMALL($J$22:$J$26,W5)</f>
        <v>0</v>
      </c>
      <c r="Y5" s="22">
        <f>VLOOKUP(X5,$J$22:$K$26,2,FALSE)</f>
        <v>0</v>
      </c>
      <c r="Z5" s="27">
        <f t="array" ref="Z5:AA5">LINEST(Y5:Y6,X5:X6^{1})</f>
        <v>0</v>
      </c>
      <c r="AA5" s="88">
        <v>0</v>
      </c>
      <c r="AB5" s="22">
        <f>(Z5*X5+AA5)-Y5</f>
        <v>0</v>
      </c>
      <c r="AD5" s="30">
        <f>X5</f>
        <v>0</v>
      </c>
      <c r="AE5" s="31" t="str">
        <f>VLOOKUP(AD5,$J$22:$L$26,3,FALSE)</f>
        <v>-----</v>
      </c>
      <c r="AF5" s="29"/>
      <c r="AG5" s="35"/>
      <c r="AH5" s="35"/>
      <c r="AI5" s="35"/>
      <c r="AJ5" s="210"/>
      <c r="AK5" s="210"/>
      <c r="AL5" s="210"/>
      <c r="AM5" s="210"/>
      <c r="AN5" s="213"/>
      <c r="AO5" s="214"/>
      <c r="AP5" s="41"/>
      <c r="AQ5" s="28">
        <f>X5</f>
        <v>0</v>
      </c>
      <c r="AR5" s="29" t="str">
        <f>AE5</f>
        <v>-----</v>
      </c>
      <c r="AS5" s="22"/>
      <c r="AT5" s="401"/>
      <c r="AU5" s="401"/>
      <c r="AV5" s="37"/>
      <c r="AW5" s="38"/>
      <c r="AX5" s="37"/>
      <c r="AY5" s="37"/>
      <c r="AZ5" s="401">
        <v>4</v>
      </c>
      <c r="BA5" s="401" t="s">
        <v>29</v>
      </c>
      <c r="BB5" s="37" t="s">
        <v>57</v>
      </c>
      <c r="BC5" s="36">
        <f t="array" ref="BC5:BD9">LINEST(AR21:AR25,AQ21:AQ25^{1},TRUE,TRUE)</f>
        <v>0</v>
      </c>
      <c r="BD5" s="37">
        <v>0</v>
      </c>
      <c r="BE5" s="37" t="s">
        <v>65</v>
      </c>
      <c r="BG5" s="30">
        <f>X5</f>
        <v>0</v>
      </c>
      <c r="BH5" s="62">
        <f t="shared" ref="BH5:BH14" si="0">M22</f>
        <v>0</v>
      </c>
      <c r="BI5" s="29"/>
      <c r="BJ5" s="35">
        <v>1</v>
      </c>
      <c r="BK5" s="35">
        <v>1</v>
      </c>
      <c r="BL5" s="35" t="s">
        <v>29</v>
      </c>
      <c r="BM5" s="36">
        <f t="array" ref="BM5:BN5">LINEST(BH5:BH9,BG5:BG9^{1})</f>
        <v>0</v>
      </c>
      <c r="BN5" s="36">
        <v>0</v>
      </c>
      <c r="BO5" s="36"/>
      <c r="BP5" s="36"/>
      <c r="BQ5" s="35">
        <f>BZ7</f>
        <v>1</v>
      </c>
      <c r="BR5" s="45">
        <f>1-(((1-BQ5)*(5-1-1)))</f>
        <v>1</v>
      </c>
      <c r="BS5" s="41"/>
      <c r="BT5" s="28">
        <f>X5</f>
        <v>0</v>
      </c>
      <c r="BU5" s="62">
        <f>BH5</f>
        <v>0</v>
      </c>
      <c r="BV5" s="22"/>
      <c r="BW5" s="401">
        <v>1</v>
      </c>
      <c r="BX5" s="401" t="s">
        <v>29</v>
      </c>
      <c r="BY5" s="37" t="s">
        <v>57</v>
      </c>
      <c r="BZ5" s="38">
        <f t="array" ref="BZ5:CA9">LINEST(BU5:BU9,BT5:BT9^{1},TRUE,TRUE)</f>
        <v>0</v>
      </c>
      <c r="CA5" s="37">
        <v>0</v>
      </c>
      <c r="CB5" s="37" t="s">
        <v>65</v>
      </c>
      <c r="CC5" s="401">
        <v>4</v>
      </c>
      <c r="CD5" s="401" t="s">
        <v>29</v>
      </c>
      <c r="CE5" s="37" t="s">
        <v>57</v>
      </c>
      <c r="CF5" s="36">
        <f t="array" ref="CF5:CG9">LINEST(BU21:BU25,BT21:BT25^{1},TRUE,TRUE)</f>
        <v>0</v>
      </c>
      <c r="CG5" s="37">
        <v>0</v>
      </c>
      <c r="CH5" s="37" t="s">
        <v>65</v>
      </c>
    </row>
    <row r="6" spans="1:86" ht="20" customHeight="1" thickTop="1">
      <c r="D6" s="112">
        <v>4</v>
      </c>
      <c r="E6" s="415" t="s">
        <v>123</v>
      </c>
      <c r="F6" s="416"/>
      <c r="G6" s="323">
        <f>'Inputs - Metric'!G6</f>
        <v>0</v>
      </c>
      <c r="H6" s="3"/>
      <c r="I6" s="417"/>
      <c r="J6" s="417"/>
      <c r="K6" s="404"/>
      <c r="L6" s="404"/>
      <c r="M6" s="419"/>
      <c r="N6" s="231" t="s">
        <v>42</v>
      </c>
      <c r="O6" s="93" t="s">
        <v>43</v>
      </c>
      <c r="P6" s="421"/>
      <c r="Q6" s="421"/>
      <c r="U6" s="20">
        <v>1</v>
      </c>
      <c r="V6" s="20">
        <v>2</v>
      </c>
      <c r="W6" s="20">
        <v>2</v>
      </c>
      <c r="X6" s="20">
        <f t="shared" ref="X6:X9" si="1">SMALL($J$22:$J$26,W6)</f>
        <v>0</v>
      </c>
      <c r="Y6" s="22">
        <f t="shared" ref="Y6:Y9" si="2">VLOOKUP(X6,$J$22:$K$26,2,FALSE)</f>
        <v>0</v>
      </c>
      <c r="Z6" s="27">
        <f t="array" ref="Z6:AA6">LINEST(Y6:Y7,X6:X7^{1})</f>
        <v>0</v>
      </c>
      <c r="AA6" s="88">
        <v>0</v>
      </c>
      <c r="AB6" s="22">
        <f t="shared" ref="AB6:AB35" si="3">(Z6*X6+AA6)-Y6</f>
        <v>0</v>
      </c>
      <c r="AD6" s="30">
        <f t="shared" ref="AD6:AD35" si="4">X6</f>
        <v>0</v>
      </c>
      <c r="AE6" s="31" t="str">
        <f t="shared" ref="AE6:AE9" si="5">VLOOKUP(AD6,$J$22:$L$26,3,FALSE)</f>
        <v>-----</v>
      </c>
      <c r="AF6" s="31"/>
      <c r="AG6" s="37"/>
      <c r="AH6" s="37"/>
      <c r="AI6" s="37"/>
      <c r="AJ6" s="211"/>
      <c r="AK6" s="211"/>
      <c r="AL6" s="211"/>
      <c r="AM6" s="211"/>
      <c r="AN6" s="215"/>
      <c r="AO6" s="216"/>
      <c r="AP6" s="41"/>
      <c r="AQ6" s="30">
        <f t="shared" ref="AQ6:AQ35" si="6">X6</f>
        <v>0</v>
      </c>
      <c r="AR6" s="31" t="str">
        <f t="shared" ref="AR6:AR34" si="7">AE6</f>
        <v>-----</v>
      </c>
      <c r="AT6" s="401"/>
      <c r="AU6" s="401"/>
      <c r="AV6" s="37"/>
      <c r="AW6" s="42"/>
      <c r="AX6" s="37"/>
      <c r="AY6" s="37"/>
      <c r="AZ6" s="401"/>
      <c r="BA6" s="401"/>
      <c r="BB6" s="37" t="s">
        <v>66</v>
      </c>
      <c r="BC6" s="42">
        <v>0</v>
      </c>
      <c r="BD6" s="37">
        <v>0</v>
      </c>
      <c r="BE6" s="37" t="s">
        <v>67</v>
      </c>
      <c r="BG6" s="30">
        <f t="shared" ref="BG6:BG35" si="8">X6</f>
        <v>0</v>
      </c>
      <c r="BH6" s="63">
        <f t="shared" si="0"/>
        <v>0</v>
      </c>
      <c r="BI6" s="31"/>
      <c r="BJ6" s="37">
        <v>1</v>
      </c>
      <c r="BK6" s="37">
        <v>2</v>
      </c>
      <c r="BL6" s="37" t="s">
        <v>59</v>
      </c>
      <c r="BM6" s="38">
        <f t="array" ref="BM6:BO6">LINEST(BH5:BH9,BG5:BG9^{1,2})</f>
        <v>0</v>
      </c>
      <c r="BN6" s="38">
        <v>0</v>
      </c>
      <c r="BO6" s="38">
        <v>0</v>
      </c>
      <c r="BP6" s="38"/>
      <c r="BQ6" s="37">
        <f>BZ12</f>
        <v>1</v>
      </c>
      <c r="BR6" s="46">
        <f>1-(((1-BQ6)*(5-2-1)))</f>
        <v>1</v>
      </c>
      <c r="BS6" s="41"/>
      <c r="BT6" s="30">
        <f t="shared" ref="BT6:BT35" si="9">X6</f>
        <v>0</v>
      </c>
      <c r="BU6" s="63">
        <f t="shared" ref="BU6:BU35" si="10">BH6</f>
        <v>0</v>
      </c>
      <c r="BW6" s="401"/>
      <c r="BX6" s="401"/>
      <c r="BY6" s="37" t="s">
        <v>66</v>
      </c>
      <c r="BZ6" s="42">
        <v>0</v>
      </c>
      <c r="CA6" s="37">
        <v>0</v>
      </c>
      <c r="CB6" s="37" t="s">
        <v>67</v>
      </c>
      <c r="CC6" s="401"/>
      <c r="CD6" s="401"/>
      <c r="CE6" s="37" t="s">
        <v>66</v>
      </c>
      <c r="CF6" s="42">
        <v>0</v>
      </c>
      <c r="CG6" s="37">
        <v>0</v>
      </c>
      <c r="CH6" s="37" t="s">
        <v>67</v>
      </c>
    </row>
    <row r="7" spans="1:86" ht="20" customHeight="1">
      <c r="D7" s="112">
        <v>5</v>
      </c>
      <c r="E7" s="415" t="s">
        <v>44</v>
      </c>
      <c r="F7" s="416"/>
      <c r="G7" s="322">
        <f>'Inputs - Metric'!G7*2.2046</f>
        <v>0</v>
      </c>
      <c r="H7" s="3"/>
      <c r="I7" s="70"/>
      <c r="J7" s="70">
        <v>1</v>
      </c>
      <c r="K7" s="324">
        <f>'Inputs - Metric'!K7*2.2046</f>
        <v>0</v>
      </c>
      <c r="L7" s="324">
        <f>'Inputs - Metric'!L7*2.2046</f>
        <v>0</v>
      </c>
      <c r="M7" s="270">
        <f>ROUNDUP('Inputs - Metric'!M7/2.2046,0)</f>
        <v>0</v>
      </c>
      <c r="N7" s="270">
        <f>ROUNDUP('Inputs - Metric'!N7/2.2046,0)</f>
        <v>0</v>
      </c>
      <c r="O7" s="270">
        <f>ROUNDUP('Inputs - Metric'!O7/2.2046,0)</f>
        <v>0</v>
      </c>
      <c r="P7" s="346"/>
      <c r="Q7" s="346"/>
      <c r="R7" s="403" t="s">
        <v>96</v>
      </c>
      <c r="S7" s="403"/>
      <c r="U7" s="20">
        <v>1</v>
      </c>
      <c r="V7" s="20">
        <v>3</v>
      </c>
      <c r="W7" s="20">
        <v>3</v>
      </c>
      <c r="X7" s="20">
        <f t="shared" si="1"/>
        <v>0</v>
      </c>
      <c r="Y7" s="22">
        <f t="shared" si="2"/>
        <v>0</v>
      </c>
      <c r="Z7" s="27">
        <f t="array" ref="Z7:AA7">LINEST(Y7:Y8,X7:X8^{1})</f>
        <v>0</v>
      </c>
      <c r="AA7" s="88">
        <v>0</v>
      </c>
      <c r="AB7" s="22">
        <f t="shared" si="3"/>
        <v>0</v>
      </c>
      <c r="AD7" s="30">
        <f t="shared" si="4"/>
        <v>0</v>
      </c>
      <c r="AE7" s="31" t="str">
        <f t="shared" si="5"/>
        <v>-----</v>
      </c>
      <c r="AF7" s="31"/>
      <c r="AG7" s="39"/>
      <c r="AH7" s="39"/>
      <c r="AI7" s="39"/>
      <c r="AJ7" s="212"/>
      <c r="AK7" s="212"/>
      <c r="AL7" s="212"/>
      <c r="AM7" s="212"/>
      <c r="AN7" s="217"/>
      <c r="AO7" s="218"/>
      <c r="AP7" s="41"/>
      <c r="AQ7" s="30">
        <f t="shared" si="6"/>
        <v>0</v>
      </c>
      <c r="AR7" s="31" t="str">
        <f t="shared" si="7"/>
        <v>-----</v>
      </c>
      <c r="AT7" s="401"/>
      <c r="AU7" s="401"/>
      <c r="AV7" s="37"/>
      <c r="AW7" s="42"/>
      <c r="AX7" s="37"/>
      <c r="AY7" s="37"/>
      <c r="AZ7" s="401"/>
      <c r="BA7" s="401"/>
      <c r="BB7" s="37" t="s">
        <v>31</v>
      </c>
      <c r="BC7" s="42">
        <v>1</v>
      </c>
      <c r="BD7" s="37">
        <v>0</v>
      </c>
      <c r="BE7" s="37" t="s">
        <v>68</v>
      </c>
      <c r="BG7" s="30">
        <f t="shared" si="8"/>
        <v>0</v>
      </c>
      <c r="BH7" s="63">
        <f t="shared" si="0"/>
        <v>0</v>
      </c>
      <c r="BI7" s="31"/>
      <c r="BJ7" s="39">
        <v>1</v>
      </c>
      <c r="BK7" s="39">
        <v>3</v>
      </c>
      <c r="BL7" s="39" t="s">
        <v>30</v>
      </c>
      <c r="BM7" s="40">
        <f t="array" ref="BM7:BP7">LINEST(BH5:BH9,BG5:BG9^{1,2,3})</f>
        <v>0</v>
      </c>
      <c r="BN7" s="40">
        <v>0</v>
      </c>
      <c r="BO7" s="40">
        <v>0</v>
      </c>
      <c r="BP7" s="40">
        <v>0</v>
      </c>
      <c r="BQ7" s="39">
        <f>BZ18</f>
        <v>1</v>
      </c>
      <c r="BR7" s="47">
        <f>1-(((1-BQ7)*(5-3-1)))</f>
        <v>1</v>
      </c>
      <c r="BS7" s="41"/>
      <c r="BT7" s="30">
        <f t="shared" si="9"/>
        <v>0</v>
      </c>
      <c r="BU7" s="63">
        <f t="shared" si="10"/>
        <v>0</v>
      </c>
      <c r="BW7" s="401"/>
      <c r="BX7" s="401"/>
      <c r="BY7" s="37" t="s">
        <v>31</v>
      </c>
      <c r="BZ7" s="42">
        <v>1</v>
      </c>
      <c r="CA7" s="37">
        <v>0</v>
      </c>
      <c r="CB7" s="37" t="s">
        <v>68</v>
      </c>
      <c r="CC7" s="401"/>
      <c r="CD7" s="401"/>
      <c r="CE7" s="37" t="s">
        <v>31</v>
      </c>
      <c r="CF7" s="42">
        <v>1</v>
      </c>
      <c r="CG7" s="37">
        <v>0</v>
      </c>
      <c r="CH7" s="37" t="s">
        <v>68</v>
      </c>
    </row>
    <row r="8" spans="1:86" ht="20" customHeight="1">
      <c r="D8" s="112">
        <v>6</v>
      </c>
      <c r="E8" s="415" t="s">
        <v>45</v>
      </c>
      <c r="F8" s="416"/>
      <c r="G8" s="323">
        <f>'Inputs - Metric'!G8</f>
        <v>0</v>
      </c>
      <c r="I8" s="70"/>
      <c r="J8" s="70">
        <v>2</v>
      </c>
      <c r="K8" s="18">
        <f>IF(L7="","",L7)</f>
        <v>0</v>
      </c>
      <c r="L8" s="324">
        <f>'Inputs - Metric'!L8*2.2046</f>
        <v>0</v>
      </c>
      <c r="M8" s="270">
        <f>ROUNDUP('Inputs - Metric'!M8/2.2046,0)</f>
        <v>0</v>
      </c>
      <c r="N8" s="270">
        <f>ROUNDUP('Inputs - Metric'!N8/2.2046,0)</f>
        <v>0</v>
      </c>
      <c r="O8" s="270">
        <f>ROUNDUP('Inputs - Metric'!O8/2.2046,0)</f>
        <v>0</v>
      </c>
      <c r="P8" s="346"/>
      <c r="Q8" s="346"/>
      <c r="R8" s="21"/>
      <c r="S8" s="21">
        <v>4</v>
      </c>
      <c r="U8" s="20">
        <v>1</v>
      </c>
      <c r="V8" s="20">
        <v>4</v>
      </c>
      <c r="W8" s="20">
        <v>4</v>
      </c>
      <c r="X8" s="20">
        <f t="shared" si="1"/>
        <v>0</v>
      </c>
      <c r="Y8" s="22">
        <f t="shared" si="2"/>
        <v>0</v>
      </c>
      <c r="Z8" s="27">
        <f t="array" ref="Z8:AA8">LINEST(Y8:Y9,X8:X9^{1})</f>
        <v>0</v>
      </c>
      <c r="AA8" s="88">
        <v>0</v>
      </c>
      <c r="AB8" s="22">
        <f t="shared" si="3"/>
        <v>0</v>
      </c>
      <c r="AD8" s="30">
        <f t="shared" si="4"/>
        <v>0</v>
      </c>
      <c r="AE8" s="31" t="str">
        <f t="shared" si="5"/>
        <v>-----</v>
      </c>
      <c r="AF8" s="31"/>
      <c r="AG8" s="35"/>
      <c r="AH8" s="35"/>
      <c r="AI8" s="35"/>
      <c r="AJ8" s="210"/>
      <c r="AK8" s="210"/>
      <c r="AL8" s="210"/>
      <c r="AM8" s="210"/>
      <c r="AN8" s="213"/>
      <c r="AO8" s="214"/>
      <c r="AP8" s="41"/>
      <c r="AQ8" s="30">
        <f t="shared" si="6"/>
        <v>0</v>
      </c>
      <c r="AR8" s="31" t="str">
        <f t="shared" si="7"/>
        <v>-----</v>
      </c>
      <c r="AT8" s="401"/>
      <c r="AU8" s="401"/>
      <c r="AV8" s="37"/>
      <c r="AW8" s="42"/>
      <c r="AX8" s="37"/>
      <c r="AY8" s="37"/>
      <c r="AZ8" s="401"/>
      <c r="BA8" s="401"/>
      <c r="BB8" s="37" t="s">
        <v>69</v>
      </c>
      <c r="BC8" s="42" t="e">
        <v>#NUM!</v>
      </c>
      <c r="BD8" s="37">
        <v>3</v>
      </c>
      <c r="BE8" s="37" t="s">
        <v>70</v>
      </c>
      <c r="BG8" s="30">
        <f t="shared" si="8"/>
        <v>0</v>
      </c>
      <c r="BH8" s="63">
        <f t="shared" si="0"/>
        <v>0</v>
      </c>
      <c r="BI8" s="31"/>
      <c r="BJ8" s="35">
        <v>2</v>
      </c>
      <c r="BK8" s="35">
        <v>4</v>
      </c>
      <c r="BL8" s="35" t="s">
        <v>29</v>
      </c>
      <c r="BM8" s="36">
        <f t="array" ref="BM8:BN8">LINEST(BH10:BH14,BG10:BG14^{1})</f>
        <v>0</v>
      </c>
      <c r="BN8" s="36">
        <v>0</v>
      </c>
      <c r="BO8" s="36"/>
      <c r="BP8" s="36"/>
      <c r="BQ8" s="35">
        <f>BZ23</f>
        <v>1</v>
      </c>
      <c r="BR8" s="45">
        <f>1-(((1-BQ8)*(5-1-1)))</f>
        <v>1</v>
      </c>
      <c r="BS8" s="41"/>
      <c r="BT8" s="30">
        <f t="shared" si="9"/>
        <v>0</v>
      </c>
      <c r="BU8" s="63">
        <f t="shared" si="10"/>
        <v>0</v>
      </c>
      <c r="BW8" s="401"/>
      <c r="BX8" s="401"/>
      <c r="BY8" s="37" t="s">
        <v>69</v>
      </c>
      <c r="BZ8" s="42" t="e">
        <v>#NUM!</v>
      </c>
      <c r="CA8" s="37">
        <v>3</v>
      </c>
      <c r="CB8" s="37" t="s">
        <v>70</v>
      </c>
      <c r="CC8" s="401"/>
      <c r="CD8" s="401"/>
      <c r="CE8" s="37" t="s">
        <v>69</v>
      </c>
      <c r="CF8" s="42" t="e">
        <v>#NUM!</v>
      </c>
      <c r="CG8" s="37">
        <v>3</v>
      </c>
      <c r="CH8" s="37" t="s">
        <v>70</v>
      </c>
    </row>
    <row r="9" spans="1:86" ht="20" customHeight="1">
      <c r="D9" s="112">
        <v>7</v>
      </c>
      <c r="E9" s="415" t="s">
        <v>120</v>
      </c>
      <c r="F9" s="416"/>
      <c r="G9" s="323">
        <f>'Inputs - Metric'!G9</f>
        <v>0</v>
      </c>
      <c r="H9" s="14">
        <f>MIN(K7:K12)</f>
        <v>0</v>
      </c>
      <c r="I9" s="70"/>
      <c r="J9" s="70">
        <v>3</v>
      </c>
      <c r="K9" s="18">
        <f>IF(L8="","",L8)</f>
        <v>0</v>
      </c>
      <c r="L9" s="324">
        <f>'Inputs - Metric'!L9*2.2046</f>
        <v>0</v>
      </c>
      <c r="M9" s="270">
        <f>ROUNDUP('Inputs - Metric'!M9/2.2046,0)</f>
        <v>0</v>
      </c>
      <c r="N9" s="270">
        <f>ROUNDUP('Inputs - Metric'!N9/2.2046,0)</f>
        <v>0</v>
      </c>
      <c r="O9" s="270">
        <f>ROUNDUP('Inputs - Metric'!O9/2.2046,0)</f>
        <v>0</v>
      </c>
      <c r="P9" s="346"/>
      <c r="Q9" s="346"/>
      <c r="R9" s="21"/>
      <c r="S9" s="21">
        <v>5</v>
      </c>
      <c r="U9" s="20">
        <v>1</v>
      </c>
      <c r="V9" s="20">
        <v>5</v>
      </c>
      <c r="W9" s="20">
        <v>5</v>
      </c>
      <c r="X9" s="20">
        <f t="shared" si="1"/>
        <v>0</v>
      </c>
      <c r="Y9" s="22">
        <f t="shared" si="2"/>
        <v>0</v>
      </c>
      <c r="Z9" s="27">
        <f t="array" ref="Z9:AA9">LINEST(Y8:Y9,X8:X9^{1})</f>
        <v>0</v>
      </c>
      <c r="AA9" s="88">
        <v>0</v>
      </c>
      <c r="AB9" s="22">
        <f t="shared" si="3"/>
        <v>0</v>
      </c>
      <c r="AD9" s="30">
        <f t="shared" si="4"/>
        <v>0</v>
      </c>
      <c r="AE9" s="31" t="str">
        <f t="shared" si="5"/>
        <v>-----</v>
      </c>
      <c r="AF9" s="31"/>
      <c r="AG9" s="37"/>
      <c r="AH9" s="37"/>
      <c r="AI9" s="37"/>
      <c r="AJ9" s="211"/>
      <c r="AK9" s="211"/>
      <c r="AL9" s="211"/>
      <c r="AM9" s="211"/>
      <c r="AN9" s="215"/>
      <c r="AO9" s="216"/>
      <c r="AP9" s="41"/>
      <c r="AQ9" s="32">
        <f t="shared" si="6"/>
        <v>0</v>
      </c>
      <c r="AR9" s="33" t="str">
        <f t="shared" si="7"/>
        <v>-----</v>
      </c>
      <c r="AT9" s="400"/>
      <c r="AU9" s="400"/>
      <c r="AV9" s="39"/>
      <c r="AW9" s="43"/>
      <c r="AX9" s="39"/>
      <c r="AY9" s="39"/>
      <c r="AZ9" s="400"/>
      <c r="BA9" s="400"/>
      <c r="BB9" s="39" t="s">
        <v>71</v>
      </c>
      <c r="BC9" s="43">
        <v>0</v>
      </c>
      <c r="BD9" s="39">
        <v>0</v>
      </c>
      <c r="BE9" s="39" t="s">
        <v>72</v>
      </c>
      <c r="BG9" s="30">
        <f t="shared" si="8"/>
        <v>0</v>
      </c>
      <c r="BH9" s="64">
        <f t="shared" si="0"/>
        <v>0</v>
      </c>
      <c r="BI9" s="31"/>
      <c r="BJ9" s="37">
        <v>2</v>
      </c>
      <c r="BK9" s="37">
        <v>5</v>
      </c>
      <c r="BL9" s="37" t="s">
        <v>59</v>
      </c>
      <c r="BM9" s="38">
        <f t="array" ref="BM9:BO9">LINEST(BH10:BH14,BG10:BG14^{1,2})</f>
        <v>0</v>
      </c>
      <c r="BN9" s="38">
        <v>0</v>
      </c>
      <c r="BO9" s="38">
        <v>0</v>
      </c>
      <c r="BP9" s="38"/>
      <c r="BQ9" s="37">
        <f>BZ28</f>
        <v>1</v>
      </c>
      <c r="BR9" s="46">
        <f>1-(((1-BQ9)*(5-2-1)))</f>
        <v>1</v>
      </c>
      <c r="BS9" s="41"/>
      <c r="BT9" s="32">
        <f t="shared" si="9"/>
        <v>0</v>
      </c>
      <c r="BU9" s="64">
        <f t="shared" si="10"/>
        <v>0</v>
      </c>
      <c r="BW9" s="400"/>
      <c r="BX9" s="400"/>
      <c r="BY9" s="39" t="s">
        <v>71</v>
      </c>
      <c r="BZ9" s="43">
        <v>0</v>
      </c>
      <c r="CA9" s="39">
        <v>0</v>
      </c>
      <c r="CB9" s="39" t="s">
        <v>72</v>
      </c>
      <c r="CC9" s="400"/>
      <c r="CD9" s="400"/>
      <c r="CE9" s="39" t="s">
        <v>71</v>
      </c>
      <c r="CF9" s="43">
        <v>0</v>
      </c>
      <c r="CG9" s="39">
        <v>0</v>
      </c>
      <c r="CH9" s="39" t="s">
        <v>72</v>
      </c>
    </row>
    <row r="10" spans="1:86" ht="20" customHeight="1">
      <c r="D10" s="112">
        <v>8</v>
      </c>
      <c r="E10" s="407" t="s">
        <v>146</v>
      </c>
      <c r="F10" s="407"/>
      <c r="G10" s="323">
        <f>'Inputs - Metric'!G10</f>
        <v>0</v>
      </c>
      <c r="H10" s="14">
        <f>MAX(L7:L12)</f>
        <v>0</v>
      </c>
      <c r="I10" s="70"/>
      <c r="J10" s="70">
        <v>4</v>
      </c>
      <c r="K10" s="18">
        <f>IF(L9="","",L9)</f>
        <v>0</v>
      </c>
      <c r="L10" s="324">
        <f>'Inputs - Metric'!L10*2.2046</f>
        <v>0</v>
      </c>
      <c r="M10" s="270">
        <f>ROUNDUP('Inputs - Metric'!M10/2.2046,0)</f>
        <v>0</v>
      </c>
      <c r="N10" s="270">
        <f>ROUNDUP('Inputs - Metric'!N10/2.2046,0)</f>
        <v>0</v>
      </c>
      <c r="O10" s="270">
        <f>ROUNDUP('Inputs - Metric'!O10/2.2046,0)</f>
        <v>0</v>
      </c>
      <c r="P10" s="346"/>
      <c r="Q10" s="346"/>
      <c r="S10" s="21">
        <v>6</v>
      </c>
      <c r="U10" s="20">
        <v>2</v>
      </c>
      <c r="V10" s="20">
        <v>6</v>
      </c>
      <c r="W10" s="20">
        <v>1</v>
      </c>
      <c r="X10" s="20">
        <f>SMALL($J$27:$J$31,W10)</f>
        <v>0</v>
      </c>
      <c r="Y10" s="22">
        <f>VLOOKUP(X10,$J$27:$K$31,2,FALSE)</f>
        <v>0</v>
      </c>
      <c r="Z10" s="27">
        <f t="array" ref="Z10:AA10">LINEST(Y10:Y11,X10:X11^{1})</f>
        <v>0</v>
      </c>
      <c r="AA10" s="88">
        <v>0</v>
      </c>
      <c r="AB10" s="22">
        <f t="shared" si="3"/>
        <v>0</v>
      </c>
      <c r="AD10" s="28">
        <f t="shared" si="4"/>
        <v>0</v>
      </c>
      <c r="AE10" s="29" t="str">
        <f>VLOOKUP(AD10,$J$27:$L$31,3,FALSE)</f>
        <v>-----</v>
      </c>
      <c r="AF10" s="31"/>
      <c r="AG10" s="37"/>
      <c r="AH10" s="37"/>
      <c r="AI10" s="37"/>
      <c r="AJ10" s="211"/>
      <c r="AK10" s="211"/>
      <c r="AL10" s="211"/>
      <c r="AM10" s="211"/>
      <c r="AN10" s="215"/>
      <c r="AO10" s="218"/>
      <c r="AP10" s="41"/>
      <c r="AQ10" s="28">
        <f t="shared" si="6"/>
        <v>0</v>
      </c>
      <c r="AR10" s="29" t="str">
        <f t="shared" si="7"/>
        <v>-----</v>
      </c>
      <c r="AT10" s="398"/>
      <c r="AU10" s="398"/>
      <c r="AV10" s="5"/>
      <c r="AW10" s="38"/>
      <c r="AX10" s="37"/>
      <c r="AY10" s="5"/>
      <c r="AZ10" s="398">
        <v>4</v>
      </c>
      <c r="BA10" s="398" t="s">
        <v>33</v>
      </c>
      <c r="BB10" s="5" t="s">
        <v>57</v>
      </c>
      <c r="BC10" s="36">
        <f t="array" ref="BC10:BD14">LINEST(AR21:AR25,AQ21:AQ25^{1,2},TRUE,TRUE)</f>
        <v>0</v>
      </c>
      <c r="BD10" s="37">
        <v>0</v>
      </c>
      <c r="BE10" s="5" t="s">
        <v>65</v>
      </c>
      <c r="BG10" s="30">
        <f t="shared" si="8"/>
        <v>0</v>
      </c>
      <c r="BH10" s="62">
        <f t="shared" si="0"/>
        <v>0</v>
      </c>
      <c r="BI10" s="31"/>
      <c r="BJ10" s="37">
        <v>2</v>
      </c>
      <c r="BK10" s="37">
        <v>6</v>
      </c>
      <c r="BL10" s="37" t="s">
        <v>30</v>
      </c>
      <c r="BM10" s="38">
        <f t="array" ref="BM10:BP10">LINEST(BH10:BH14,BG10:BG14^{1,2,3})</f>
        <v>0</v>
      </c>
      <c r="BN10" s="38">
        <v>0</v>
      </c>
      <c r="BO10" s="38">
        <v>0</v>
      </c>
      <c r="BP10" s="38">
        <v>0</v>
      </c>
      <c r="BQ10" s="37">
        <f>BZ33</f>
        <v>1</v>
      </c>
      <c r="BR10" s="47">
        <f>1-(((1-BQ10)*(5-3-1)))</f>
        <v>1</v>
      </c>
      <c r="BS10" s="41"/>
      <c r="BT10" s="28">
        <f t="shared" si="9"/>
        <v>0</v>
      </c>
      <c r="BU10" s="62">
        <f t="shared" si="10"/>
        <v>0</v>
      </c>
      <c r="BW10" s="398">
        <v>1</v>
      </c>
      <c r="BX10" s="398" t="s">
        <v>33</v>
      </c>
      <c r="BY10" s="5" t="s">
        <v>57</v>
      </c>
      <c r="BZ10" s="38">
        <f t="array" ref="BZ10:CA14">LINEST(BU5:BU9,BT5:BT9^{1,2},TRUE,TRUE)</f>
        <v>0</v>
      </c>
      <c r="CA10" s="37">
        <v>0</v>
      </c>
      <c r="CB10" s="5" t="s">
        <v>65</v>
      </c>
      <c r="CC10" s="398">
        <v>4</v>
      </c>
      <c r="CD10" s="398" t="s">
        <v>33</v>
      </c>
      <c r="CE10" s="5" t="s">
        <v>57</v>
      </c>
      <c r="CF10" s="36">
        <f t="array" ref="CF10:CG14">LINEST(BU21:BU25,BT21:BT25^{1,2},TRUE,TRUE)</f>
        <v>0</v>
      </c>
      <c r="CG10" s="37">
        <v>0</v>
      </c>
      <c r="CH10" s="5" t="s">
        <v>65</v>
      </c>
    </row>
    <row r="11" spans="1:86" ht="20" customHeight="1">
      <c r="E11" s="413" t="s">
        <v>149</v>
      </c>
      <c r="F11" s="413"/>
      <c r="H11" s="14"/>
      <c r="I11" s="71"/>
      <c r="J11" s="71">
        <v>5</v>
      </c>
      <c r="K11" s="72">
        <f>IF(L10="","",L10)</f>
        <v>0</v>
      </c>
      <c r="L11" s="324">
        <f>'Inputs - Metric'!L11*2.2046</f>
        <v>0</v>
      </c>
      <c r="M11" s="270">
        <f>ROUNDUP('Inputs - Metric'!M11/2.2046,0)</f>
        <v>0</v>
      </c>
      <c r="N11" s="270">
        <f>ROUNDUP('Inputs - Metric'!N11/2.2046,0)</f>
        <v>0</v>
      </c>
      <c r="O11" s="270">
        <f>ROUNDUP('Inputs - Metric'!O11/2.2046,0)</f>
        <v>0</v>
      </c>
      <c r="P11" s="346"/>
      <c r="Q11" s="346"/>
      <c r="R11" s="403" t="s">
        <v>194</v>
      </c>
      <c r="S11" s="403"/>
      <c r="U11" s="20">
        <v>2</v>
      </c>
      <c r="V11" s="20">
        <v>7</v>
      </c>
      <c r="W11" s="20">
        <v>2</v>
      </c>
      <c r="X11" s="20">
        <f t="shared" ref="X11:X14" si="11">SMALL($J$27:$J$31,W11)</f>
        <v>0</v>
      </c>
      <c r="Y11" s="22">
        <f t="shared" ref="Y11:Y14" si="12">VLOOKUP(X11,$J$27:$K$31,2,FALSE)</f>
        <v>0</v>
      </c>
      <c r="Z11" s="27">
        <f t="array" ref="Z11:AA11">LINEST(Y11:Y12,X11:X12^{1})</f>
        <v>0</v>
      </c>
      <c r="AA11" s="88">
        <v>0</v>
      </c>
      <c r="AB11" s="22">
        <f t="shared" si="3"/>
        <v>0</v>
      </c>
      <c r="AD11" s="30">
        <f t="shared" si="4"/>
        <v>0</v>
      </c>
      <c r="AE11" s="31" t="str">
        <f>VLOOKUP(AD11,$J$27:$L$31,3,FALSE)</f>
        <v>-----</v>
      </c>
      <c r="AF11" s="31"/>
      <c r="AG11" s="35">
        <v>3</v>
      </c>
      <c r="AH11" s="35">
        <v>7</v>
      </c>
      <c r="AI11" s="35" t="s">
        <v>29</v>
      </c>
      <c r="AJ11" s="210">
        <f t="array" ref="AJ11:AK11">LINEST(AE16:AE20,AD16:AD20^{1})</f>
        <v>0</v>
      </c>
      <c r="AK11" s="210">
        <v>0</v>
      </c>
      <c r="AL11" s="210"/>
      <c r="AM11" s="210"/>
      <c r="AN11" s="213">
        <f>AW38</f>
        <v>1</v>
      </c>
      <c r="AO11" s="214">
        <f>1-(((1-AN11)*(5-1-1)))</f>
        <v>1</v>
      </c>
      <c r="AP11" s="41"/>
      <c r="AQ11" s="30">
        <f t="shared" si="6"/>
        <v>0</v>
      </c>
      <c r="AR11" s="31" t="str">
        <f t="shared" si="7"/>
        <v>-----</v>
      </c>
      <c r="AT11" s="401"/>
      <c r="AU11" s="399"/>
      <c r="AV11" s="5"/>
      <c r="AW11" s="42"/>
      <c r="AX11" s="37"/>
      <c r="AY11" s="5"/>
      <c r="AZ11" s="401"/>
      <c r="BA11" s="399"/>
      <c r="BB11" s="5" t="s">
        <v>66</v>
      </c>
      <c r="BC11" s="42">
        <v>0</v>
      </c>
      <c r="BD11" s="37">
        <v>0</v>
      </c>
      <c r="BE11" s="5" t="s">
        <v>67</v>
      </c>
      <c r="BG11" s="30">
        <f t="shared" si="8"/>
        <v>0</v>
      </c>
      <c r="BH11" s="63">
        <f t="shared" si="0"/>
        <v>0</v>
      </c>
      <c r="BI11" s="31"/>
      <c r="BJ11" s="35">
        <v>3</v>
      </c>
      <c r="BK11" s="35">
        <v>7</v>
      </c>
      <c r="BL11" s="35" t="s">
        <v>29</v>
      </c>
      <c r="BM11" s="36">
        <f t="array" ref="BM11:BN11">LINEST(BH16:BH20,BG16:BG20^{1})</f>
        <v>0</v>
      </c>
      <c r="BN11" s="36">
        <v>0</v>
      </c>
      <c r="BO11" s="36"/>
      <c r="BP11" s="36"/>
      <c r="BQ11" s="35">
        <f>BZ33</f>
        <v>1</v>
      </c>
      <c r="BR11" s="45">
        <f>1-(((1-BQ11)*(5-1-1)))</f>
        <v>1</v>
      </c>
      <c r="BS11" s="41"/>
      <c r="BT11" s="30">
        <f t="shared" si="9"/>
        <v>0</v>
      </c>
      <c r="BU11" s="63">
        <f t="shared" si="10"/>
        <v>0</v>
      </c>
      <c r="BW11" s="401"/>
      <c r="BX11" s="399"/>
      <c r="BY11" s="5" t="s">
        <v>66</v>
      </c>
      <c r="BZ11" s="42">
        <v>0</v>
      </c>
      <c r="CA11" s="37">
        <v>0</v>
      </c>
      <c r="CB11" s="5" t="s">
        <v>67</v>
      </c>
      <c r="CC11" s="401"/>
      <c r="CD11" s="399"/>
      <c r="CE11" s="5" t="s">
        <v>66</v>
      </c>
      <c r="CF11" s="42">
        <v>0</v>
      </c>
      <c r="CG11" s="37">
        <v>0</v>
      </c>
      <c r="CH11" s="5" t="s">
        <v>67</v>
      </c>
    </row>
    <row r="12" spans="1:86" ht="20" customHeight="1">
      <c r="A12" s="243"/>
      <c r="B12" s="237"/>
      <c r="H12" s="48"/>
      <c r="I12" s="71"/>
      <c r="J12" s="71">
        <v>6</v>
      </c>
      <c r="K12" s="72">
        <f>IF(L11="","",L11)</f>
        <v>0</v>
      </c>
      <c r="L12" s="324">
        <f>'Inputs - Metric'!L12*2.2046</f>
        <v>0</v>
      </c>
      <c r="M12" s="270">
        <f>ROUNDUP('Inputs - Metric'!M12/2.2046,0)</f>
        <v>0</v>
      </c>
      <c r="N12" s="270">
        <f>ROUNDUP('Inputs - Metric'!N12/2.2046,0)</f>
        <v>0</v>
      </c>
      <c r="O12" s="270">
        <f>ROUNDUP('Inputs - Metric'!O12/2.2046,0)</f>
        <v>0</v>
      </c>
      <c r="P12" s="346"/>
      <c r="Q12" s="346"/>
      <c r="R12" s="21" t="s">
        <v>195</v>
      </c>
      <c r="S12" s="21">
        <v>1</v>
      </c>
      <c r="U12" s="20">
        <v>2</v>
      </c>
      <c r="V12" s="20">
        <v>8</v>
      </c>
      <c r="W12" s="20">
        <v>3</v>
      </c>
      <c r="X12" s="20">
        <f t="shared" si="11"/>
        <v>0</v>
      </c>
      <c r="Y12" s="22">
        <f t="shared" si="12"/>
        <v>0</v>
      </c>
      <c r="Z12" s="27">
        <f t="array" ref="Z12:AA12">LINEST(Y12:Y13,X12:X13^{1})</f>
        <v>0</v>
      </c>
      <c r="AA12" s="88">
        <v>0</v>
      </c>
      <c r="AB12" s="22">
        <f t="shared" si="3"/>
        <v>0</v>
      </c>
      <c r="AD12" s="30">
        <f t="shared" si="4"/>
        <v>0</v>
      </c>
      <c r="AE12" s="31" t="str">
        <f t="shared" ref="AE12:AE14" si="13">VLOOKUP(AD12,$J$27:$L$31,3,FALSE)</f>
        <v>-----</v>
      </c>
      <c r="AF12" s="31"/>
      <c r="AG12" s="37">
        <v>3</v>
      </c>
      <c r="AH12" s="37">
        <v>8</v>
      </c>
      <c r="AI12" s="37" t="s">
        <v>59</v>
      </c>
      <c r="AJ12" s="211">
        <f t="array" ref="AJ12:AL12">LINEST(AE16:AE20,AD16:AD20^{1,2})</f>
        <v>0</v>
      </c>
      <c r="AK12" s="211">
        <v>0</v>
      </c>
      <c r="AL12" s="211">
        <v>0</v>
      </c>
      <c r="AM12" s="211"/>
      <c r="AN12" s="215">
        <f>AW43</f>
        <v>1</v>
      </c>
      <c r="AO12" s="216">
        <f>1-(((1-AN12)*(5-2-1)))</f>
        <v>1</v>
      </c>
      <c r="AP12" s="41"/>
      <c r="AQ12" s="30">
        <f t="shared" si="6"/>
        <v>0</v>
      </c>
      <c r="AR12" s="31" t="str">
        <f t="shared" si="7"/>
        <v>-----</v>
      </c>
      <c r="AT12" s="401"/>
      <c r="AU12" s="399"/>
      <c r="AV12" s="5"/>
      <c r="AW12" s="42"/>
      <c r="AX12" s="37"/>
      <c r="AY12" s="5"/>
      <c r="AZ12" s="401"/>
      <c r="BA12" s="399"/>
      <c r="BB12" s="5" t="s">
        <v>31</v>
      </c>
      <c r="BC12" s="42">
        <v>1</v>
      </c>
      <c r="BD12" s="37">
        <v>0</v>
      </c>
      <c r="BE12" s="5" t="s">
        <v>68</v>
      </c>
      <c r="BG12" s="30">
        <f t="shared" si="8"/>
        <v>0</v>
      </c>
      <c r="BH12" s="63">
        <f t="shared" si="0"/>
        <v>0</v>
      </c>
      <c r="BI12" s="31"/>
      <c r="BJ12" s="37">
        <v>3</v>
      </c>
      <c r="BK12" s="37">
        <v>8</v>
      </c>
      <c r="BL12" s="37" t="s">
        <v>59</v>
      </c>
      <c r="BM12" s="38">
        <f t="array" ref="BM12:BO12">LINEST(BH16:BH20,BG16:BG20^{1,2})</f>
        <v>0</v>
      </c>
      <c r="BN12" s="38">
        <v>0</v>
      </c>
      <c r="BO12" s="38">
        <v>0</v>
      </c>
      <c r="BP12" s="38"/>
      <c r="BQ12" s="37">
        <f>BZ43</f>
        <v>1</v>
      </c>
      <c r="BR12" s="46">
        <f>1-(((1-BQ12)*(5-2-1)))</f>
        <v>1</v>
      </c>
      <c r="BS12" s="41"/>
      <c r="BT12" s="30">
        <f t="shared" si="9"/>
        <v>0</v>
      </c>
      <c r="BU12" s="63">
        <f t="shared" si="10"/>
        <v>0</v>
      </c>
      <c r="BW12" s="401"/>
      <c r="BX12" s="399"/>
      <c r="BY12" s="5" t="s">
        <v>31</v>
      </c>
      <c r="BZ12" s="42">
        <v>1</v>
      </c>
      <c r="CA12" s="37">
        <v>0</v>
      </c>
      <c r="CB12" s="5" t="s">
        <v>68</v>
      </c>
      <c r="CC12" s="401"/>
      <c r="CD12" s="399"/>
      <c r="CE12" s="5" t="s">
        <v>31</v>
      </c>
      <c r="CF12" s="42">
        <v>1</v>
      </c>
      <c r="CG12" s="37">
        <v>0</v>
      </c>
      <c r="CH12" s="5" t="s">
        <v>68</v>
      </c>
    </row>
    <row r="13" spans="1:86" ht="20" customHeight="1">
      <c r="A13" s="406"/>
      <c r="B13" s="406"/>
      <c r="E13" s="252" t="s">
        <v>121</v>
      </c>
      <c r="F13" s="252"/>
      <c r="G13" s="324" t="str">
        <f>'Inputs - Metric'!G13</f>
        <v>Carcass</v>
      </c>
      <c r="H13" s="48">
        <f>VLOOKUP($G$13,$R$21:$S$22,2,FALSE)</f>
        <v>2</v>
      </c>
      <c r="K13" s="16"/>
      <c r="L13" s="16"/>
      <c r="M13" s="16"/>
      <c r="N13" s="3"/>
      <c r="O13" s="3"/>
      <c r="P13" s="255"/>
      <c r="Q13" s="229"/>
      <c r="R13" s="21" t="s">
        <v>196</v>
      </c>
      <c r="S13" s="21">
        <v>2</v>
      </c>
      <c r="U13" s="20">
        <v>2</v>
      </c>
      <c r="V13" s="20">
        <v>9</v>
      </c>
      <c r="W13" s="20">
        <v>4</v>
      </c>
      <c r="X13" s="20">
        <f t="shared" si="11"/>
        <v>0</v>
      </c>
      <c r="Y13" s="22">
        <f t="shared" si="12"/>
        <v>0</v>
      </c>
      <c r="Z13" s="27">
        <f t="array" ref="Z13:AA13">LINEST(Y13:Y14,X13:X14^{1})</f>
        <v>0</v>
      </c>
      <c r="AA13" s="88">
        <v>0</v>
      </c>
      <c r="AB13" s="22">
        <f t="shared" si="3"/>
        <v>0</v>
      </c>
      <c r="AD13" s="30">
        <f t="shared" si="4"/>
        <v>0</v>
      </c>
      <c r="AE13" s="31" t="str">
        <f t="shared" si="13"/>
        <v>-----</v>
      </c>
      <c r="AF13" s="31"/>
      <c r="AG13" s="37">
        <v>3</v>
      </c>
      <c r="AH13" s="37">
        <v>9</v>
      </c>
      <c r="AI13" s="37" t="s">
        <v>30</v>
      </c>
      <c r="AJ13" s="211">
        <f t="array" ref="AJ13:AM13">LINEST(AE16:AE20,AD16:AD20^{1,2,3})</f>
        <v>0</v>
      </c>
      <c r="AK13" s="211">
        <v>0</v>
      </c>
      <c r="AL13" s="211">
        <v>0</v>
      </c>
      <c r="AM13" s="211">
        <v>0</v>
      </c>
      <c r="AN13" s="215">
        <f>AW48</f>
        <v>1</v>
      </c>
      <c r="AO13" s="216">
        <f>1-(((1-AN13)*(5-3-1)))</f>
        <v>1</v>
      </c>
      <c r="AP13" s="41"/>
      <c r="AQ13" s="30">
        <f t="shared" si="6"/>
        <v>0</v>
      </c>
      <c r="AR13" s="31" t="str">
        <f t="shared" si="7"/>
        <v>-----</v>
      </c>
      <c r="AT13" s="401"/>
      <c r="AU13" s="399"/>
      <c r="AV13" s="5"/>
      <c r="AW13" s="42"/>
      <c r="AX13" s="37"/>
      <c r="AY13" s="5"/>
      <c r="AZ13" s="401"/>
      <c r="BA13" s="399"/>
      <c r="BB13" s="5" t="s">
        <v>69</v>
      </c>
      <c r="BC13" s="42" t="e">
        <v>#NUM!</v>
      </c>
      <c r="BD13" s="37">
        <v>2</v>
      </c>
      <c r="BE13" s="5" t="s">
        <v>70</v>
      </c>
      <c r="BG13" s="30">
        <f t="shared" si="8"/>
        <v>0</v>
      </c>
      <c r="BH13" s="63">
        <f t="shared" si="0"/>
        <v>0</v>
      </c>
      <c r="BI13" s="31"/>
      <c r="BJ13" s="37">
        <v>3</v>
      </c>
      <c r="BK13" s="37">
        <v>9</v>
      </c>
      <c r="BL13" s="37" t="s">
        <v>30</v>
      </c>
      <c r="BM13" s="38">
        <f t="array" ref="BM13:BP13">LINEST(BH16:BH20,BG16:BG20^{1,2,3})</f>
        <v>0</v>
      </c>
      <c r="BN13" s="38">
        <v>0</v>
      </c>
      <c r="BO13" s="38">
        <v>0</v>
      </c>
      <c r="BP13" s="38">
        <v>0</v>
      </c>
      <c r="BQ13" s="37">
        <f>BZ48</f>
        <v>1</v>
      </c>
      <c r="BR13" s="46">
        <f>1-(((1-BQ13)*(5-3-1)))</f>
        <v>1</v>
      </c>
      <c r="BS13" s="41"/>
      <c r="BT13" s="30">
        <f t="shared" si="9"/>
        <v>0</v>
      </c>
      <c r="BU13" s="63">
        <f t="shared" si="10"/>
        <v>0</v>
      </c>
      <c r="BW13" s="401"/>
      <c r="BX13" s="399"/>
      <c r="BY13" s="5" t="s">
        <v>69</v>
      </c>
      <c r="BZ13" s="42" t="e">
        <v>#NUM!</v>
      </c>
      <c r="CA13" s="37">
        <v>2</v>
      </c>
      <c r="CB13" s="5" t="s">
        <v>70</v>
      </c>
      <c r="CC13" s="401"/>
      <c r="CD13" s="399"/>
      <c r="CE13" s="5" t="s">
        <v>69</v>
      </c>
      <c r="CF13" s="42" t="e">
        <v>#NUM!</v>
      </c>
      <c r="CG13" s="37">
        <v>2</v>
      </c>
      <c r="CH13" s="5" t="s">
        <v>70</v>
      </c>
    </row>
    <row r="14" spans="1:86" ht="20" customHeight="1">
      <c r="A14" s="31"/>
      <c r="B14" s="30"/>
      <c r="E14" s="269" t="s">
        <v>201</v>
      </c>
      <c r="G14" s="330" t="str">
        <f>'Inputs - Metric'!G14</f>
        <v>Fixed Time</v>
      </c>
      <c r="H14" s="48">
        <f>VLOOKUP($G$14,$R$25:$S$26,2,FALSE)</f>
        <v>2</v>
      </c>
      <c r="K14" s="3"/>
      <c r="L14" s="3"/>
      <c r="M14" s="3"/>
      <c r="N14" s="3"/>
      <c r="O14" s="3"/>
      <c r="P14" s="3"/>
      <c r="R14" s="5"/>
      <c r="S14" s="20"/>
      <c r="U14" s="20">
        <v>2</v>
      </c>
      <c r="V14" s="20">
        <v>10</v>
      </c>
      <c r="W14" s="20">
        <v>5</v>
      </c>
      <c r="X14" s="20">
        <f t="shared" si="11"/>
        <v>0</v>
      </c>
      <c r="Y14" s="22">
        <f t="shared" si="12"/>
        <v>0</v>
      </c>
      <c r="Z14" s="27">
        <f t="array" ref="Z14:AA14">LINEST(Y13:Y14,X13:X14^{1})</f>
        <v>0</v>
      </c>
      <c r="AA14" s="88">
        <v>0</v>
      </c>
      <c r="AB14" s="22">
        <f t="shared" si="3"/>
        <v>0</v>
      </c>
      <c r="AD14" s="32">
        <f t="shared" si="4"/>
        <v>0</v>
      </c>
      <c r="AE14" s="33" t="str">
        <f t="shared" si="13"/>
        <v>-----</v>
      </c>
      <c r="AF14" s="31"/>
      <c r="AG14" s="35">
        <v>4</v>
      </c>
      <c r="AH14" s="35">
        <v>10</v>
      </c>
      <c r="AI14" s="35" t="s">
        <v>29</v>
      </c>
      <c r="AJ14" s="210">
        <f t="array" ref="AJ14:AK14">LINEST(AE21:AE25,AD21:AD25^{1})</f>
        <v>0</v>
      </c>
      <c r="AK14" s="210">
        <v>0</v>
      </c>
      <c r="AL14" s="210"/>
      <c r="AM14" s="210"/>
      <c r="AN14" s="213">
        <f>BC7</f>
        <v>1</v>
      </c>
      <c r="AO14" s="214">
        <f>1-(((1-AN14)*(5-1-1)))</f>
        <v>1</v>
      </c>
      <c r="AP14" s="41"/>
      <c r="AQ14" s="32">
        <f t="shared" si="6"/>
        <v>0</v>
      </c>
      <c r="AR14" s="33" t="str">
        <f t="shared" si="7"/>
        <v>-----</v>
      </c>
      <c r="AT14" s="401"/>
      <c r="AU14" s="401"/>
      <c r="AV14" s="5"/>
      <c r="AW14" s="42"/>
      <c r="AX14" s="37"/>
      <c r="AY14" s="5"/>
      <c r="AZ14" s="401"/>
      <c r="BA14" s="401"/>
      <c r="BB14" s="5" t="s">
        <v>71</v>
      </c>
      <c r="BC14" s="42">
        <v>0</v>
      </c>
      <c r="BD14" s="37">
        <v>0</v>
      </c>
      <c r="BE14" s="5" t="s">
        <v>72</v>
      </c>
      <c r="BG14" s="30">
        <f t="shared" si="8"/>
        <v>0</v>
      </c>
      <c r="BH14" s="64">
        <f t="shared" si="0"/>
        <v>0</v>
      </c>
      <c r="BI14" s="31"/>
      <c r="BJ14" s="35">
        <v>4</v>
      </c>
      <c r="BK14" s="35">
        <v>10</v>
      </c>
      <c r="BL14" s="35" t="s">
        <v>29</v>
      </c>
      <c r="BM14" s="36">
        <f t="array" ref="BM14:BN14">LINEST(BH21:BH25,BG21:BG25^{1})</f>
        <v>0</v>
      </c>
      <c r="BN14" s="36">
        <v>0</v>
      </c>
      <c r="BO14" s="36"/>
      <c r="BP14" s="36"/>
      <c r="BQ14" s="35">
        <f>CF7</f>
        <v>1</v>
      </c>
      <c r="BR14" s="45">
        <f>1-(((1-BQ14)*(5-1-1)))</f>
        <v>1</v>
      </c>
      <c r="BS14" s="41"/>
      <c r="BT14" s="32">
        <f t="shared" si="9"/>
        <v>0</v>
      </c>
      <c r="BU14" s="64">
        <f t="shared" si="10"/>
        <v>0</v>
      </c>
      <c r="BW14" s="401"/>
      <c r="BX14" s="401"/>
      <c r="BY14" s="5" t="s">
        <v>71</v>
      </c>
      <c r="BZ14" s="42">
        <v>0</v>
      </c>
      <c r="CA14" s="37">
        <v>0</v>
      </c>
      <c r="CB14" s="5" t="s">
        <v>72</v>
      </c>
      <c r="CC14" s="401"/>
      <c r="CD14" s="401"/>
      <c r="CE14" s="5" t="s">
        <v>71</v>
      </c>
      <c r="CF14" s="42">
        <v>0</v>
      </c>
      <c r="CG14" s="37">
        <v>0</v>
      </c>
      <c r="CH14" s="5" t="s">
        <v>72</v>
      </c>
    </row>
    <row r="15" spans="1:86" ht="20" customHeight="1">
      <c r="A15" s="31"/>
      <c r="B15" s="30"/>
      <c r="E15" s="252" t="s">
        <v>193</v>
      </c>
      <c r="F15" s="252"/>
      <c r="G15" s="330" t="s">
        <v>195</v>
      </c>
      <c r="H15" s="48">
        <f>VLOOKUP($G$15,$R$12:$S$13,2,FALSE)</f>
        <v>1</v>
      </c>
      <c r="K15" s="3"/>
      <c r="L15" s="3"/>
      <c r="M15" s="3"/>
      <c r="N15" s="3"/>
      <c r="O15" s="3"/>
      <c r="P15" s="3"/>
      <c r="R15" s="5"/>
      <c r="S15" s="20"/>
      <c r="U15" s="20"/>
      <c r="V15" s="20"/>
      <c r="W15" s="20"/>
      <c r="X15" s="20"/>
      <c r="Y15" s="22"/>
      <c r="Z15" s="27"/>
      <c r="AA15" s="88"/>
      <c r="AB15" s="22"/>
      <c r="AD15" s="30"/>
      <c r="AE15" s="31"/>
      <c r="AF15" s="31"/>
      <c r="AG15" s="37"/>
      <c r="AH15" s="37"/>
      <c r="AI15" s="37"/>
      <c r="AJ15" s="211"/>
      <c r="AK15" s="211"/>
      <c r="AL15" s="211"/>
      <c r="AM15" s="211"/>
      <c r="AN15" s="215"/>
      <c r="AO15" s="216"/>
      <c r="AP15" s="41"/>
      <c r="AQ15" s="30"/>
      <c r="AR15" s="31"/>
      <c r="AT15" s="124"/>
      <c r="AU15" s="124"/>
      <c r="AV15" s="5"/>
      <c r="AW15" s="42"/>
      <c r="AX15" s="37"/>
      <c r="AY15" s="5"/>
      <c r="AZ15" s="124"/>
      <c r="BA15" s="124"/>
      <c r="BB15" s="5"/>
      <c r="BC15" s="42"/>
      <c r="BD15" s="37"/>
      <c r="BE15" s="5"/>
      <c r="BG15" s="30"/>
      <c r="BH15" s="63"/>
      <c r="BI15" s="31"/>
      <c r="BJ15" s="37"/>
      <c r="BK15" s="37"/>
      <c r="BL15" s="37"/>
      <c r="BM15" s="38"/>
      <c r="BN15" s="38"/>
      <c r="BO15" s="38"/>
      <c r="BP15" s="38"/>
      <c r="BQ15" s="37"/>
      <c r="BR15" s="46"/>
      <c r="BS15" s="41"/>
      <c r="BT15" s="30"/>
      <c r="BU15" s="63"/>
      <c r="BW15" s="124"/>
      <c r="BX15" s="124"/>
      <c r="BY15" s="5"/>
      <c r="BZ15" s="42"/>
      <c r="CA15" s="37"/>
      <c r="CB15" s="5"/>
      <c r="CC15" s="124"/>
      <c r="CD15" s="124"/>
      <c r="CE15" s="5"/>
      <c r="CF15" s="42"/>
      <c r="CG15" s="37"/>
      <c r="CH15" s="5"/>
    </row>
    <row r="16" spans="1:86" ht="20" customHeight="1" thickBot="1">
      <c r="A16" s="31"/>
      <c r="B16" s="30"/>
      <c r="D16" s="253"/>
      <c r="I16" s="70"/>
      <c r="J16" s="70"/>
      <c r="K16" s="237"/>
      <c r="L16" s="237"/>
      <c r="M16" s="237"/>
      <c r="N16" s="237"/>
      <c r="O16" s="237"/>
      <c r="P16" s="237"/>
      <c r="Q16" s="254"/>
      <c r="R16" s="17"/>
      <c r="S16" s="17"/>
      <c r="U16" s="20">
        <v>3</v>
      </c>
      <c r="V16" s="20">
        <v>11</v>
      </c>
      <c r="W16" s="20">
        <v>1</v>
      </c>
      <c r="X16" s="20">
        <f>SMALL($J$32:$J$36,W16)</f>
        <v>0</v>
      </c>
      <c r="Y16" s="22">
        <f>VLOOKUP(X16,$J$32:$K$36,2,FALSE)</f>
        <v>0</v>
      </c>
      <c r="Z16" s="27">
        <f t="array" ref="Z16:AA16">LINEST(Y16:Y17,X16:X17^{1})</f>
        <v>0</v>
      </c>
      <c r="AA16" s="88">
        <v>0</v>
      </c>
      <c r="AB16" s="22">
        <f t="shared" si="3"/>
        <v>0</v>
      </c>
      <c r="AD16" s="28">
        <f t="shared" si="4"/>
        <v>0</v>
      </c>
      <c r="AE16" s="29">
        <f>VLOOKUP(AD16,$J$32:$L$36,3,FALSE)</f>
        <v>0</v>
      </c>
      <c r="AF16" s="31"/>
      <c r="AG16" s="37">
        <v>4</v>
      </c>
      <c r="AH16" s="37">
        <v>11</v>
      </c>
      <c r="AI16" s="37" t="s">
        <v>59</v>
      </c>
      <c r="AJ16" s="211">
        <f t="array" ref="AJ16:AL16">LINEST(AE21:AE25,AD21:AD25^{1,2})</f>
        <v>0</v>
      </c>
      <c r="AK16" s="211">
        <v>0</v>
      </c>
      <c r="AL16" s="211">
        <v>0</v>
      </c>
      <c r="AM16" s="211"/>
      <c r="AN16" s="215">
        <f>BC12</f>
        <v>1</v>
      </c>
      <c r="AO16" s="216">
        <f>1-(((1-AN16)*(5-2-1)))</f>
        <v>1</v>
      </c>
      <c r="AP16" s="41"/>
      <c r="AQ16" s="28">
        <f t="shared" si="6"/>
        <v>0</v>
      </c>
      <c r="AR16" s="29">
        <f t="shared" si="7"/>
        <v>0</v>
      </c>
      <c r="AT16" s="398"/>
      <c r="AU16" s="398"/>
      <c r="AV16" s="35"/>
      <c r="AW16" s="36"/>
      <c r="AX16" s="35"/>
      <c r="AY16" s="35"/>
      <c r="AZ16" s="398">
        <v>4</v>
      </c>
      <c r="BA16" s="398" t="s">
        <v>30</v>
      </c>
      <c r="BB16" s="35" t="s">
        <v>57</v>
      </c>
      <c r="BC16" s="36">
        <f t="array" ref="BC16:BD20">LINEST(AR21:AR25,AQ21:AQ25^{1,2,3},TRUE,TRUE)</f>
        <v>0</v>
      </c>
      <c r="BD16" s="35">
        <v>0</v>
      </c>
      <c r="BE16" s="35" t="s">
        <v>65</v>
      </c>
      <c r="BG16" s="30">
        <f t="shared" si="8"/>
        <v>0</v>
      </c>
      <c r="BH16" s="62">
        <f t="shared" ref="BH16:BH35" si="14">M32</f>
        <v>0</v>
      </c>
      <c r="BI16" s="31"/>
      <c r="BJ16" s="37">
        <v>4</v>
      </c>
      <c r="BK16" s="37">
        <v>11</v>
      </c>
      <c r="BL16" s="37" t="s">
        <v>59</v>
      </c>
      <c r="BM16" s="38">
        <f t="array" ref="BM16:BO16">LINEST(BH21:BH25,BG21:BG25^{1,2})</f>
        <v>0</v>
      </c>
      <c r="BN16" s="38">
        <v>0</v>
      </c>
      <c r="BO16" s="38">
        <v>0</v>
      </c>
      <c r="BP16" s="38"/>
      <c r="BQ16" s="37">
        <f>CF12</f>
        <v>1</v>
      </c>
      <c r="BR16" s="46">
        <f>1-(((1-BQ16)*(5-2-1)))</f>
        <v>1</v>
      </c>
      <c r="BS16" s="41"/>
      <c r="BT16" s="30">
        <f t="shared" si="9"/>
        <v>0</v>
      </c>
      <c r="BU16" s="63">
        <f t="shared" si="10"/>
        <v>0</v>
      </c>
      <c r="BW16" s="398">
        <v>1</v>
      </c>
      <c r="BX16" s="398" t="s">
        <v>30</v>
      </c>
      <c r="BY16" s="35" t="s">
        <v>57</v>
      </c>
      <c r="BZ16" s="36">
        <f t="array" ref="BZ16:CA20">LINEST(BU5:BU9,BT5:BT9^{1,2,3},TRUE,TRUE)</f>
        <v>0</v>
      </c>
      <c r="CA16" s="35">
        <v>0</v>
      </c>
      <c r="CB16" s="35" t="s">
        <v>65</v>
      </c>
      <c r="CC16" s="398">
        <v>4</v>
      </c>
      <c r="CD16" s="398" t="s">
        <v>30</v>
      </c>
      <c r="CE16" s="35" t="s">
        <v>57</v>
      </c>
      <c r="CF16" s="36">
        <f t="array" ref="CF16:CG20">LINEST(BU21:BU25,BT21:BT25^{1,2,3},TRUE,TRUE)</f>
        <v>0</v>
      </c>
      <c r="CG16" s="35">
        <v>0</v>
      </c>
      <c r="CH16" s="35" t="s">
        <v>65</v>
      </c>
    </row>
    <row r="17" spans="1:88" ht="20" customHeight="1" thickBot="1">
      <c r="A17" s="22"/>
      <c r="B17" s="20"/>
      <c r="D17" s="408" t="s">
        <v>125</v>
      </c>
      <c r="E17" s="409"/>
      <c r="F17" s="409"/>
      <c r="G17" s="409"/>
      <c r="H17" s="409"/>
      <c r="I17" s="409"/>
      <c r="J17" s="409"/>
      <c r="K17" s="409"/>
      <c r="L17" s="409"/>
      <c r="M17" s="409"/>
      <c r="N17" s="409"/>
      <c r="O17" s="409"/>
      <c r="P17" s="409"/>
      <c r="Q17" s="410"/>
      <c r="R17" s="405" t="s">
        <v>97</v>
      </c>
      <c r="S17" s="405"/>
      <c r="U17" s="20">
        <v>3</v>
      </c>
      <c r="V17" s="20">
        <v>12</v>
      </c>
      <c r="W17" s="20">
        <v>2</v>
      </c>
      <c r="X17" s="20">
        <f t="shared" ref="X17:X20" si="15">SMALL($J$32:$J$36,W17)</f>
        <v>0</v>
      </c>
      <c r="Y17" s="22">
        <f t="shared" ref="Y17:Y20" si="16">VLOOKUP(X17,$J$32:$K$36,2,FALSE)</f>
        <v>0</v>
      </c>
      <c r="Z17" s="27">
        <f t="array" ref="Z17:AA17">LINEST(Y17:Y18,X17:X18^{1})</f>
        <v>0</v>
      </c>
      <c r="AA17" s="88">
        <v>0</v>
      </c>
      <c r="AB17" s="22">
        <f t="shared" si="3"/>
        <v>0</v>
      </c>
      <c r="AD17" s="30">
        <f t="shared" si="4"/>
        <v>0</v>
      </c>
      <c r="AE17" s="31">
        <f t="shared" ref="AE17:AE19" si="17">VLOOKUP(AD17,$J$32:$L$36,3,FALSE)</f>
        <v>0</v>
      </c>
      <c r="AF17" s="31"/>
      <c r="AG17" s="39">
        <v>4</v>
      </c>
      <c r="AH17" s="39">
        <v>12</v>
      </c>
      <c r="AI17" s="39" t="s">
        <v>30</v>
      </c>
      <c r="AJ17" s="212">
        <f t="array" ref="AJ17:AM17">LINEST(AE21:AE25,AD21:AD25^{1,2,3})</f>
        <v>0</v>
      </c>
      <c r="AK17" s="212">
        <v>0</v>
      </c>
      <c r="AL17" s="212">
        <v>0</v>
      </c>
      <c r="AM17" s="212">
        <v>0</v>
      </c>
      <c r="AN17" s="217">
        <f>BC18</f>
        <v>1</v>
      </c>
      <c r="AO17" s="218">
        <f>1-(((1-AN17)*(5-3-1)))</f>
        <v>1</v>
      </c>
      <c r="AP17" s="41"/>
      <c r="AQ17" s="30">
        <f t="shared" si="6"/>
        <v>0</v>
      </c>
      <c r="AR17" s="31">
        <f t="shared" si="7"/>
        <v>0</v>
      </c>
      <c r="AT17" s="401"/>
      <c r="AU17" s="401"/>
      <c r="AV17" s="37"/>
      <c r="AW17" s="42"/>
      <c r="AX17" s="37"/>
      <c r="AY17" s="37"/>
      <c r="AZ17" s="401"/>
      <c r="BA17" s="401"/>
      <c r="BB17" s="37" t="s">
        <v>66</v>
      </c>
      <c r="BC17" s="42">
        <v>0</v>
      </c>
      <c r="BD17" s="37">
        <v>0</v>
      </c>
      <c r="BE17" s="37" t="s">
        <v>67</v>
      </c>
      <c r="BG17" s="30">
        <f t="shared" si="8"/>
        <v>0</v>
      </c>
      <c r="BH17" s="63">
        <f t="shared" si="14"/>
        <v>0</v>
      </c>
      <c r="BI17" s="31"/>
      <c r="BJ17" s="39">
        <v>4</v>
      </c>
      <c r="BK17" s="39">
        <v>12</v>
      </c>
      <c r="BL17" s="39" t="s">
        <v>30</v>
      </c>
      <c r="BM17" s="40">
        <f t="array" ref="BM17:BP17">LINEST(BH21:BH25,BG21:BG25^{1,2,3})</f>
        <v>0</v>
      </c>
      <c r="BN17" s="40">
        <v>0</v>
      </c>
      <c r="BO17" s="40">
        <v>0</v>
      </c>
      <c r="BP17" s="40">
        <v>0</v>
      </c>
      <c r="BQ17" s="39">
        <f>CF18</f>
        <v>1</v>
      </c>
      <c r="BR17" s="47">
        <f>1-(((1-BQ17)*(5-3-1)))</f>
        <v>1</v>
      </c>
      <c r="BS17" s="41"/>
      <c r="BT17" s="30">
        <f t="shared" si="9"/>
        <v>0</v>
      </c>
      <c r="BU17" s="63">
        <f t="shared" si="10"/>
        <v>0</v>
      </c>
      <c r="BW17" s="401"/>
      <c r="BX17" s="401"/>
      <c r="BY17" s="37" t="s">
        <v>66</v>
      </c>
      <c r="BZ17" s="42">
        <v>0</v>
      </c>
      <c r="CA17" s="37">
        <v>0</v>
      </c>
      <c r="CB17" s="37" t="s">
        <v>67</v>
      </c>
      <c r="CC17" s="401"/>
      <c r="CD17" s="401"/>
      <c r="CE17" s="37" t="s">
        <v>66</v>
      </c>
      <c r="CF17" s="42">
        <v>0</v>
      </c>
      <c r="CG17" s="37">
        <v>0</v>
      </c>
      <c r="CH17" s="37" t="s">
        <v>67</v>
      </c>
    </row>
    <row r="18" spans="1:88" ht="20" customHeight="1">
      <c r="A18" s="22"/>
      <c r="B18" s="20"/>
      <c r="R18" s="21" t="s">
        <v>76</v>
      </c>
      <c r="S18" s="11">
        <f>MAX(L7:L12)</f>
        <v>0</v>
      </c>
      <c r="U18" s="20">
        <v>3</v>
      </c>
      <c r="V18" s="20">
        <v>13</v>
      </c>
      <c r="W18" s="20">
        <v>3</v>
      </c>
      <c r="X18" s="20">
        <f t="shared" si="15"/>
        <v>0</v>
      </c>
      <c r="Y18" s="22">
        <f t="shared" si="16"/>
        <v>0</v>
      </c>
      <c r="Z18" s="27">
        <f t="array" ref="Z18:AA18">LINEST(Y18:Y19,X18:X19^{1})</f>
        <v>0</v>
      </c>
      <c r="AA18" s="88">
        <v>0</v>
      </c>
      <c r="AB18" s="22">
        <f t="shared" si="3"/>
        <v>0</v>
      </c>
      <c r="AD18" s="30">
        <f t="shared" si="4"/>
        <v>0</v>
      </c>
      <c r="AE18" s="31">
        <f t="shared" si="17"/>
        <v>0</v>
      </c>
      <c r="AF18" s="31"/>
      <c r="AG18" s="35">
        <v>5</v>
      </c>
      <c r="AH18" s="35">
        <v>13</v>
      </c>
      <c r="AI18" s="35" t="s">
        <v>29</v>
      </c>
      <c r="AJ18" s="211">
        <f t="array" ref="AJ18:AK18">LINEST(AE26:AE30,AD26:AD30^{1})</f>
        <v>0</v>
      </c>
      <c r="AK18" s="210">
        <v>0</v>
      </c>
      <c r="AL18" s="210"/>
      <c r="AM18" s="210"/>
      <c r="AN18" s="213">
        <f>BC23</f>
        <v>1</v>
      </c>
      <c r="AO18" s="214">
        <f>1-(((1-AN18)*(5-1-1)))</f>
        <v>1</v>
      </c>
      <c r="AP18" s="41"/>
      <c r="AQ18" s="30">
        <f t="shared" si="6"/>
        <v>0</v>
      </c>
      <c r="AR18" s="31">
        <f t="shared" si="7"/>
        <v>0</v>
      </c>
      <c r="AT18" s="401"/>
      <c r="AU18" s="401"/>
      <c r="AV18" s="37"/>
      <c r="AW18" s="42"/>
      <c r="AX18" s="37"/>
      <c r="AY18" s="37"/>
      <c r="AZ18" s="401"/>
      <c r="BA18" s="401"/>
      <c r="BB18" s="37" t="s">
        <v>31</v>
      </c>
      <c r="BC18" s="42">
        <v>1</v>
      </c>
      <c r="BD18" s="37">
        <v>0</v>
      </c>
      <c r="BE18" s="37" t="s">
        <v>68</v>
      </c>
      <c r="BG18" s="30">
        <f t="shared" si="8"/>
        <v>0</v>
      </c>
      <c r="BH18" s="63">
        <f t="shared" si="14"/>
        <v>0</v>
      </c>
      <c r="BI18" s="31"/>
      <c r="BJ18" s="35">
        <v>5</v>
      </c>
      <c r="BK18" s="35">
        <v>13</v>
      </c>
      <c r="BL18" s="35" t="s">
        <v>29</v>
      </c>
      <c r="BM18" s="38">
        <f t="array" ref="BM18:BN18">LINEST(BH26:BH30,BG26:BG30^{1})</f>
        <v>0</v>
      </c>
      <c r="BN18" s="36">
        <v>0</v>
      </c>
      <c r="BO18" s="36"/>
      <c r="BP18" s="36"/>
      <c r="BQ18" s="35">
        <f>CF23</f>
        <v>1</v>
      </c>
      <c r="BR18" s="45">
        <f>1-(((1-BQ18)*(5-1-1)))</f>
        <v>1</v>
      </c>
      <c r="BS18" s="41"/>
      <c r="BT18" s="30">
        <f t="shared" si="9"/>
        <v>0</v>
      </c>
      <c r="BU18" s="63">
        <f t="shared" si="10"/>
        <v>0</v>
      </c>
      <c r="BW18" s="401"/>
      <c r="BX18" s="401"/>
      <c r="BY18" s="37" t="s">
        <v>31</v>
      </c>
      <c r="BZ18" s="42">
        <v>1</v>
      </c>
      <c r="CA18" s="37">
        <v>0</v>
      </c>
      <c r="CB18" s="37" t="s">
        <v>68</v>
      </c>
      <c r="CC18" s="401"/>
      <c r="CD18" s="401"/>
      <c r="CE18" s="37" t="s">
        <v>31</v>
      </c>
      <c r="CF18" s="42">
        <v>1</v>
      </c>
      <c r="CG18" s="37">
        <v>0</v>
      </c>
      <c r="CH18" s="37" t="s">
        <v>68</v>
      </c>
    </row>
    <row r="19" spans="1:88" ht="20" customHeight="1">
      <c r="A19" s="22"/>
      <c r="B19" s="20"/>
      <c r="D19" s="411" t="s">
        <v>115</v>
      </c>
      <c r="E19" s="411"/>
      <c r="F19" s="412"/>
      <c r="G19" s="331" t="str">
        <f>'Inputs - Metric'!G19</f>
        <v xml:space="preserve">Yes </v>
      </c>
      <c r="H19" s="48">
        <f>VLOOKUP($G$19,$R$4:$S$5,2,FALSE)</f>
        <v>1</v>
      </c>
      <c r="R19" s="17"/>
      <c r="S19" s="17"/>
      <c r="U19" s="20">
        <v>3</v>
      </c>
      <c r="V19" s="20">
        <v>14</v>
      </c>
      <c r="W19" s="20">
        <v>4</v>
      </c>
      <c r="X19" s="20">
        <f t="shared" si="15"/>
        <v>0</v>
      </c>
      <c r="Y19" s="22">
        <f t="shared" si="16"/>
        <v>0</v>
      </c>
      <c r="Z19" s="27">
        <f t="array" ref="Z19:AA19">LINEST(Y19:Y20,X19:X20^{1})</f>
        <v>0</v>
      </c>
      <c r="AA19" s="88">
        <v>0</v>
      </c>
      <c r="AB19" s="22">
        <f t="shared" si="3"/>
        <v>0</v>
      </c>
      <c r="AD19" s="30">
        <f t="shared" si="4"/>
        <v>0</v>
      </c>
      <c r="AE19" s="31">
        <f t="shared" si="17"/>
        <v>0</v>
      </c>
      <c r="AF19" s="31"/>
      <c r="AG19" s="37">
        <v>5</v>
      </c>
      <c r="AH19" s="37">
        <v>14</v>
      </c>
      <c r="AI19" s="37" t="s">
        <v>59</v>
      </c>
      <c r="AJ19" s="211">
        <f t="array" ref="AJ19:AL19">LINEST(AE26:AE30,AD26:AD30^{1,2})</f>
        <v>0</v>
      </c>
      <c r="AK19" s="211">
        <v>0</v>
      </c>
      <c r="AL19" s="211">
        <v>0</v>
      </c>
      <c r="AM19" s="211"/>
      <c r="AN19" s="215">
        <f>BC28</f>
        <v>1</v>
      </c>
      <c r="AO19" s="216">
        <f>1-(((1-AN19)*(5-2-1)))</f>
        <v>1</v>
      </c>
      <c r="AP19" s="41"/>
      <c r="AQ19" s="30">
        <f t="shared" si="6"/>
        <v>0</v>
      </c>
      <c r="AR19" s="31">
        <f t="shared" si="7"/>
        <v>0</v>
      </c>
      <c r="AT19" s="401"/>
      <c r="AU19" s="401"/>
      <c r="AV19" s="37"/>
      <c r="AW19" s="42"/>
      <c r="AX19" s="37"/>
      <c r="AY19" s="37"/>
      <c r="AZ19" s="401"/>
      <c r="BA19" s="401"/>
      <c r="BB19" s="37" t="s">
        <v>69</v>
      </c>
      <c r="BC19" s="42" t="e">
        <v>#NUM!</v>
      </c>
      <c r="BD19" s="37">
        <v>1</v>
      </c>
      <c r="BE19" s="37" t="s">
        <v>70</v>
      </c>
      <c r="BG19" s="30">
        <f t="shared" si="8"/>
        <v>0</v>
      </c>
      <c r="BH19" s="63">
        <f t="shared" si="14"/>
        <v>0</v>
      </c>
      <c r="BI19" s="31"/>
      <c r="BJ19" s="37">
        <v>5</v>
      </c>
      <c r="BK19" s="37">
        <v>14</v>
      </c>
      <c r="BL19" s="37" t="s">
        <v>59</v>
      </c>
      <c r="BM19" s="38">
        <f t="array" ref="BM19:BO19">LINEST(BH26:BH30,BG26:BG30^{1,2})</f>
        <v>0</v>
      </c>
      <c r="BN19" s="38">
        <v>0</v>
      </c>
      <c r="BO19" s="38">
        <v>0</v>
      </c>
      <c r="BP19" s="38"/>
      <c r="BQ19" s="37">
        <f>CF28</f>
        <v>1</v>
      </c>
      <c r="BR19" s="46">
        <f>1-(((1-BQ19)*(5-2-1)))</f>
        <v>1</v>
      </c>
      <c r="BS19" s="41"/>
      <c r="BT19" s="30">
        <f t="shared" si="9"/>
        <v>0</v>
      </c>
      <c r="BU19" s="63">
        <f t="shared" si="10"/>
        <v>0</v>
      </c>
      <c r="BW19" s="401"/>
      <c r="BX19" s="401"/>
      <c r="BY19" s="37" t="s">
        <v>69</v>
      </c>
      <c r="BZ19" s="42" t="e">
        <v>#NUM!</v>
      </c>
      <c r="CA19" s="37">
        <v>1</v>
      </c>
      <c r="CB19" s="37" t="s">
        <v>70</v>
      </c>
      <c r="CC19" s="401"/>
      <c r="CD19" s="401"/>
      <c r="CE19" s="37" t="s">
        <v>69</v>
      </c>
      <c r="CF19" s="42" t="e">
        <v>#NUM!</v>
      </c>
      <c r="CG19" s="37">
        <v>1</v>
      </c>
      <c r="CH19" s="37" t="s">
        <v>70</v>
      </c>
    </row>
    <row r="20" spans="1:88" ht="20" customHeight="1">
      <c r="R20" s="403" t="s">
        <v>116</v>
      </c>
      <c r="S20" s="403"/>
      <c r="U20" s="20">
        <v>3</v>
      </c>
      <c r="V20" s="20">
        <v>15</v>
      </c>
      <c r="W20" s="20">
        <v>5</v>
      </c>
      <c r="X20" s="20">
        <f t="shared" si="15"/>
        <v>0</v>
      </c>
      <c r="Y20" s="22">
        <f t="shared" si="16"/>
        <v>0</v>
      </c>
      <c r="Z20" s="27">
        <f t="array" ref="Z20:AA20">LINEST(Y19:Y20,X19:X20^{1})</f>
        <v>0</v>
      </c>
      <c r="AA20" s="88">
        <v>0</v>
      </c>
      <c r="AB20" s="22">
        <f t="shared" si="3"/>
        <v>0</v>
      </c>
      <c r="AD20" s="32">
        <f t="shared" si="4"/>
        <v>0</v>
      </c>
      <c r="AE20" s="31">
        <f>VLOOKUP(AD20,$J$32:$L$36,3,FALSE)</f>
        <v>0</v>
      </c>
      <c r="AF20" s="33"/>
      <c r="AG20" s="39">
        <v>5</v>
      </c>
      <c r="AH20" s="39">
        <v>15</v>
      </c>
      <c r="AI20" s="39" t="s">
        <v>30</v>
      </c>
      <c r="AJ20" s="212">
        <f t="array" ref="AJ20:AM20">LINEST(AE26:AE30,AD26:AD30^{1,2,3})</f>
        <v>0</v>
      </c>
      <c r="AK20" s="212">
        <v>0</v>
      </c>
      <c r="AL20" s="212">
        <v>0</v>
      </c>
      <c r="AM20" s="212">
        <v>0</v>
      </c>
      <c r="AN20" s="217">
        <f>BC33</f>
        <v>1</v>
      </c>
      <c r="AO20" s="218">
        <f>1-(((1-AN20)*(5-3-1)))</f>
        <v>1</v>
      </c>
      <c r="AP20" s="41"/>
      <c r="AQ20" s="32">
        <f t="shared" si="6"/>
        <v>0</v>
      </c>
      <c r="AR20" s="33">
        <f t="shared" si="7"/>
        <v>0</v>
      </c>
      <c r="AT20" s="400"/>
      <c r="AU20" s="400"/>
      <c r="AV20" s="39"/>
      <c r="AW20" s="43"/>
      <c r="AX20" s="39"/>
      <c r="AY20" s="39"/>
      <c r="AZ20" s="400"/>
      <c r="BA20" s="400"/>
      <c r="BB20" s="39" t="s">
        <v>71</v>
      </c>
      <c r="BC20" s="43">
        <v>0</v>
      </c>
      <c r="BD20" s="39">
        <v>0</v>
      </c>
      <c r="BE20" s="39" t="s">
        <v>72</v>
      </c>
      <c r="BG20" s="30">
        <f t="shared" si="8"/>
        <v>0</v>
      </c>
      <c r="BH20" s="64">
        <f t="shared" si="14"/>
        <v>0</v>
      </c>
      <c r="BI20" s="33"/>
      <c r="BJ20" s="39">
        <v>5</v>
      </c>
      <c r="BK20" s="39">
        <v>15</v>
      </c>
      <c r="BL20" s="39" t="s">
        <v>30</v>
      </c>
      <c r="BM20" s="40">
        <f t="array" ref="BM20:BP20">LINEST(BH26:BH30,BG26:BG30^{1,2,3})</f>
        <v>0</v>
      </c>
      <c r="BN20" s="40">
        <v>0</v>
      </c>
      <c r="BO20" s="40">
        <v>0</v>
      </c>
      <c r="BP20" s="40">
        <v>0</v>
      </c>
      <c r="BQ20" s="39">
        <f>CF33</f>
        <v>1</v>
      </c>
      <c r="BR20" s="47">
        <f>1-(((1-BQ20)*(5-3-1)))</f>
        <v>1</v>
      </c>
      <c r="BS20" s="41"/>
      <c r="BT20" s="30">
        <f t="shared" si="9"/>
        <v>0</v>
      </c>
      <c r="BU20" s="63">
        <f t="shared" si="10"/>
        <v>0</v>
      </c>
      <c r="BW20" s="400"/>
      <c r="BX20" s="400"/>
      <c r="BY20" s="39" t="s">
        <v>71</v>
      </c>
      <c r="BZ20" s="43">
        <v>0</v>
      </c>
      <c r="CA20" s="39">
        <v>0</v>
      </c>
      <c r="CB20" s="39" t="s">
        <v>72</v>
      </c>
      <c r="CC20" s="400"/>
      <c r="CD20" s="400"/>
      <c r="CE20" s="39" t="s">
        <v>71</v>
      </c>
      <c r="CF20" s="43">
        <v>0</v>
      </c>
      <c r="CG20" s="39">
        <v>0</v>
      </c>
      <c r="CH20" s="39" t="s">
        <v>72</v>
      </c>
    </row>
    <row r="21" spans="1:88" ht="20" customHeight="1">
      <c r="A21" s="31" t="s">
        <v>172</v>
      </c>
      <c r="B21" s="31" t="s">
        <v>173</v>
      </c>
      <c r="E21" s="16"/>
      <c r="F21" s="404" t="s">
        <v>8</v>
      </c>
      <c r="G21" s="404"/>
      <c r="H21" s="91" t="s">
        <v>9</v>
      </c>
      <c r="I21" s="226" t="s">
        <v>10</v>
      </c>
      <c r="J21" s="266" t="s">
        <v>10</v>
      </c>
      <c r="K21" s="91" t="s">
        <v>1</v>
      </c>
      <c r="L21" s="91" t="s">
        <v>2</v>
      </c>
      <c r="M21" s="78" t="s">
        <v>85</v>
      </c>
      <c r="N21" s="61" t="b">
        <f>$H$19=2</f>
        <v>0</v>
      </c>
      <c r="O21" s="230"/>
      <c r="P21" s="230"/>
      <c r="Q21" s="230"/>
      <c r="R21" s="21" t="s">
        <v>117</v>
      </c>
      <c r="S21" s="21">
        <v>1</v>
      </c>
      <c r="U21" s="20">
        <v>4</v>
      </c>
      <c r="V21" s="20">
        <v>16</v>
      </c>
      <c r="W21" s="20">
        <v>1</v>
      </c>
      <c r="X21" s="20">
        <f>SMALL($J$37:$J$41,W21)</f>
        <v>0</v>
      </c>
      <c r="Y21" s="22">
        <f>VLOOKUP(X21,$J$37:$K$41,2,FALSE)</f>
        <v>0</v>
      </c>
      <c r="Z21" s="27">
        <f t="array" ref="Z21:AA21">LINEST(Y21:Y22,X21:X22^{1})</f>
        <v>0</v>
      </c>
      <c r="AA21" s="88">
        <v>0</v>
      </c>
      <c r="AB21" s="22">
        <f t="shared" si="3"/>
        <v>0</v>
      </c>
      <c r="AD21" s="28">
        <f t="shared" si="4"/>
        <v>0</v>
      </c>
      <c r="AE21" s="29">
        <f>VLOOKUP(AD21,$J$37:$L$41,3,FALSE)</f>
        <v>0</v>
      </c>
      <c r="AF21" s="29"/>
      <c r="AG21" s="35">
        <v>6</v>
      </c>
      <c r="AH21" s="35">
        <v>16</v>
      </c>
      <c r="AI21" s="35" t="s">
        <v>29</v>
      </c>
      <c r="AJ21" s="211">
        <f t="array" ref="AJ21:AK21">LINEST(AE31:AE35,AD31:AD35^{1})</f>
        <v>0</v>
      </c>
      <c r="AK21" s="210">
        <v>0</v>
      </c>
      <c r="AL21" s="210"/>
      <c r="AM21" s="210"/>
      <c r="AN21" s="213">
        <f>BC38</f>
        <v>1</v>
      </c>
      <c r="AO21" s="214">
        <f>1-(((1-AN21)*(5-1-1)))</f>
        <v>1</v>
      </c>
      <c r="AP21" s="41"/>
      <c r="AQ21" s="28">
        <f t="shared" si="6"/>
        <v>0</v>
      </c>
      <c r="AR21" s="29">
        <f t="shared" si="7"/>
        <v>0</v>
      </c>
      <c r="AT21" s="398"/>
      <c r="AU21" s="398"/>
      <c r="AV21" s="5"/>
      <c r="AW21" s="38"/>
      <c r="AX21" s="37"/>
      <c r="AY21" s="5"/>
      <c r="AZ21" s="398">
        <v>5</v>
      </c>
      <c r="BA21" s="398" t="s">
        <v>29</v>
      </c>
      <c r="BB21" s="5" t="s">
        <v>57</v>
      </c>
      <c r="BC21" s="36">
        <f t="array" ref="BC21:BD25">LINEST(AR26:AR30,AQ26:AQ30^{1},TRUE,TRUE)</f>
        <v>0</v>
      </c>
      <c r="BD21" s="37">
        <v>0</v>
      </c>
      <c r="BE21" s="5" t="s">
        <v>65</v>
      </c>
      <c r="BG21" s="30">
        <f t="shared" si="8"/>
        <v>0</v>
      </c>
      <c r="BH21" s="62">
        <f t="shared" si="14"/>
        <v>0</v>
      </c>
      <c r="BI21" s="29"/>
      <c r="BJ21" s="35">
        <v>6</v>
      </c>
      <c r="BK21" s="35">
        <v>16</v>
      </c>
      <c r="BL21" s="35" t="s">
        <v>29</v>
      </c>
      <c r="BM21" s="38">
        <f t="array" ref="BM21:BN21">LINEST(BH31:BH35,BG31:BG35^{1})</f>
        <v>0</v>
      </c>
      <c r="BN21" s="36">
        <v>0</v>
      </c>
      <c r="BO21" s="36"/>
      <c r="BP21" s="36"/>
      <c r="BQ21" s="35">
        <f>CF38</f>
        <v>1</v>
      </c>
      <c r="BR21" s="45">
        <f>1-(((1-BQ21)*(5-1-1)))</f>
        <v>1</v>
      </c>
      <c r="BS21" s="41"/>
      <c r="BT21" s="28">
        <f t="shared" si="9"/>
        <v>0</v>
      </c>
      <c r="BU21" s="62">
        <f t="shared" si="10"/>
        <v>0</v>
      </c>
      <c r="BW21" s="398">
        <v>2</v>
      </c>
      <c r="BX21" s="398" t="s">
        <v>29</v>
      </c>
      <c r="BY21" s="5" t="s">
        <v>57</v>
      </c>
      <c r="BZ21" s="38">
        <f t="array" ref="BZ21:CA25">LINEST(BU10:BU14,BT10:BT14^{1},TRUE,TRUE)</f>
        <v>0</v>
      </c>
      <c r="CA21" s="37">
        <v>0</v>
      </c>
      <c r="CB21" s="5" t="s">
        <v>65</v>
      </c>
      <c r="CC21" s="398">
        <v>5</v>
      </c>
      <c r="CD21" s="398" t="s">
        <v>29</v>
      </c>
      <c r="CE21" s="5" t="s">
        <v>57</v>
      </c>
      <c r="CF21" s="36">
        <f t="array" ref="CF21:CG25">LINEST(BU26:BU30,BT26:BT30^{1},TRUE,TRUE)</f>
        <v>0</v>
      </c>
      <c r="CG21" s="37">
        <v>0</v>
      </c>
      <c r="CH21" s="5" t="s">
        <v>65</v>
      </c>
    </row>
    <row r="22" spans="1:88" ht="20" customHeight="1">
      <c r="A22" s="236">
        <f>N7</f>
        <v>0</v>
      </c>
      <c r="B22" s="356">
        <f>ABS($M$7-A22)</f>
        <v>0</v>
      </c>
      <c r="C22" s="279">
        <f>MIN(B22:B26)</f>
        <v>0</v>
      </c>
      <c r="D22" s="96"/>
      <c r="E22" s="234"/>
      <c r="F22" s="402">
        <v>1</v>
      </c>
      <c r="G22" s="402"/>
      <c r="H22" s="83" t="s">
        <v>42</v>
      </c>
      <c r="I22" s="104">
        <f>N7</f>
        <v>0</v>
      </c>
      <c r="J22" s="104">
        <f>ROUNDUP(I22,0)</f>
        <v>0</v>
      </c>
      <c r="K22" s="323">
        <f>('Inputs - Metric'!K22)*0.907</f>
        <v>0</v>
      </c>
      <c r="L22" s="233" t="s">
        <v>170</v>
      </c>
      <c r="M22" s="355">
        <f>'Inputs - Metric'!M22</f>
        <v>0</v>
      </c>
      <c r="N22" s="242"/>
      <c r="O22" s="230"/>
      <c r="P22" s="230"/>
      <c r="Q22" s="230"/>
      <c r="R22" s="21" t="s">
        <v>118</v>
      </c>
      <c r="S22" s="21">
        <v>2</v>
      </c>
      <c r="U22" s="20">
        <v>4</v>
      </c>
      <c r="V22" s="20">
        <v>17</v>
      </c>
      <c r="W22" s="20">
        <v>2</v>
      </c>
      <c r="X22" s="20">
        <f t="shared" ref="X22:X25" si="18">SMALL($J$37:$J$41,W22)</f>
        <v>0</v>
      </c>
      <c r="Y22" s="22">
        <f t="shared" ref="Y22:Y25" si="19">VLOOKUP(X22,$J$37:$K$41,2,FALSE)</f>
        <v>0</v>
      </c>
      <c r="Z22" s="27">
        <f t="array" ref="Z22:AA22">LINEST(Y22:Y23,X22:X23^{1})</f>
        <v>0</v>
      </c>
      <c r="AA22" s="88">
        <v>0</v>
      </c>
      <c r="AB22" s="22">
        <f t="shared" si="3"/>
        <v>0</v>
      </c>
      <c r="AD22" s="30">
        <f t="shared" si="4"/>
        <v>0</v>
      </c>
      <c r="AE22" s="31">
        <f t="shared" ref="AE22:AE25" si="20">VLOOKUP(AD22,$J$37:$L$41,3,FALSE)</f>
        <v>0</v>
      </c>
      <c r="AF22" s="31"/>
      <c r="AG22" s="37">
        <v>6</v>
      </c>
      <c r="AH22" s="37">
        <v>17</v>
      </c>
      <c r="AI22" s="37" t="s">
        <v>59</v>
      </c>
      <c r="AJ22" s="211">
        <f t="array" ref="AJ22:AL22">LINEST(AE31:AE35,AD31:AD35^{1,2})</f>
        <v>0</v>
      </c>
      <c r="AK22" s="211">
        <v>0</v>
      </c>
      <c r="AL22" s="211">
        <v>0</v>
      </c>
      <c r="AM22" s="211"/>
      <c r="AN22" s="215">
        <f>BC43</f>
        <v>1</v>
      </c>
      <c r="AO22" s="216">
        <f>1-(((1-AN22)*(5-2-1)))</f>
        <v>1</v>
      </c>
      <c r="AP22" s="41"/>
      <c r="AQ22" s="30">
        <f t="shared" si="6"/>
        <v>0</v>
      </c>
      <c r="AR22" s="31">
        <f t="shared" si="7"/>
        <v>0</v>
      </c>
      <c r="AT22" s="399"/>
      <c r="AU22" s="399"/>
      <c r="AV22" s="5"/>
      <c r="AW22" s="42"/>
      <c r="AX22" s="37"/>
      <c r="AY22" s="5"/>
      <c r="AZ22" s="399"/>
      <c r="BA22" s="399"/>
      <c r="BB22" s="5" t="s">
        <v>66</v>
      </c>
      <c r="BC22" s="42">
        <v>0</v>
      </c>
      <c r="BD22" s="37">
        <v>0</v>
      </c>
      <c r="BE22" s="5" t="s">
        <v>67</v>
      </c>
      <c r="BG22" s="30">
        <f t="shared" si="8"/>
        <v>0</v>
      </c>
      <c r="BH22" s="63">
        <f t="shared" si="14"/>
        <v>0</v>
      </c>
      <c r="BI22" s="31"/>
      <c r="BJ22" s="37">
        <v>6</v>
      </c>
      <c r="BK22" s="37">
        <v>17</v>
      </c>
      <c r="BL22" s="37" t="s">
        <v>59</v>
      </c>
      <c r="BM22" s="38">
        <f t="array" ref="BM22:BO22">LINEST(BH31:BH35,BG31:BG35^{1,2})</f>
        <v>0</v>
      </c>
      <c r="BN22" s="38">
        <v>0</v>
      </c>
      <c r="BO22" s="38">
        <v>0</v>
      </c>
      <c r="BP22" s="38"/>
      <c r="BQ22" s="37">
        <f>CF43</f>
        <v>1</v>
      </c>
      <c r="BR22" s="46">
        <f>1-(((1-BQ22)*(5-2-1)))</f>
        <v>1</v>
      </c>
      <c r="BS22" s="41"/>
      <c r="BT22" s="30">
        <f t="shared" si="9"/>
        <v>0</v>
      </c>
      <c r="BU22" s="63">
        <f t="shared" si="10"/>
        <v>0</v>
      </c>
      <c r="BW22" s="399"/>
      <c r="BX22" s="399"/>
      <c r="BY22" s="5" t="s">
        <v>66</v>
      </c>
      <c r="BZ22" s="42">
        <v>0</v>
      </c>
      <c r="CA22" s="37">
        <v>0</v>
      </c>
      <c r="CB22" s="5" t="s">
        <v>67</v>
      </c>
      <c r="CC22" s="399"/>
      <c r="CD22" s="399"/>
      <c r="CE22" s="5" t="s">
        <v>66</v>
      </c>
      <c r="CF22" s="42">
        <v>0</v>
      </c>
      <c r="CG22" s="37">
        <v>0</v>
      </c>
      <c r="CH22" s="5" t="s">
        <v>67</v>
      </c>
      <c r="CJ22" s="358"/>
    </row>
    <row r="23" spans="1:88" ht="20" customHeight="1">
      <c r="A23" s="236">
        <f>A22*0.76+A26*0.24</f>
        <v>0</v>
      </c>
      <c r="B23" s="356">
        <f>ABS($M$7-A23)</f>
        <v>0</v>
      </c>
      <c r="C23" s="357"/>
      <c r="D23" s="96"/>
      <c r="E23" s="234"/>
      <c r="F23" s="402"/>
      <c r="G23" s="402"/>
      <c r="H23" s="83" t="s">
        <v>98</v>
      </c>
      <c r="I23" s="227">
        <f>IF(M7=N7,A23,N23)</f>
        <v>0</v>
      </c>
      <c r="J23" s="104">
        <f t="shared" ref="J23:J51" si="21">ROUNDUP(I23,0)</f>
        <v>0</v>
      </c>
      <c r="K23" s="323">
        <f>('Inputs - Metric'!K23)*0.907</f>
        <v>0</v>
      </c>
      <c r="L23" s="233" t="s">
        <v>170</v>
      </c>
      <c r="M23" s="355">
        <f>'Inputs - Metric'!M23</f>
        <v>0</v>
      </c>
      <c r="N23" s="239">
        <f>IF(B22=B23,$M$7,IF(B22=$C$22,$M$7, IF(B23&lt;=$C$22, $M$7,A23)))</f>
        <v>0</v>
      </c>
      <c r="O23" s="230"/>
      <c r="P23" s="230"/>
      <c r="Q23" s="230"/>
      <c r="R23" s="17"/>
      <c r="S23" s="21"/>
      <c r="U23" s="20">
        <v>4</v>
      </c>
      <c r="V23" s="20">
        <v>18</v>
      </c>
      <c r="W23" s="20">
        <v>3</v>
      </c>
      <c r="X23" s="20">
        <f t="shared" si="18"/>
        <v>0</v>
      </c>
      <c r="Y23" s="22">
        <f t="shared" si="19"/>
        <v>0</v>
      </c>
      <c r="Z23" s="27">
        <f t="array" ref="Z23:AA23">LINEST(Y23:Y24,X23:X24^{1})</f>
        <v>0</v>
      </c>
      <c r="AA23" s="88">
        <v>0</v>
      </c>
      <c r="AB23" s="22">
        <f t="shared" si="3"/>
        <v>0</v>
      </c>
      <c r="AD23" s="30">
        <f t="shared" si="4"/>
        <v>0</v>
      </c>
      <c r="AE23" s="31">
        <f t="shared" si="20"/>
        <v>0</v>
      </c>
      <c r="AF23" s="31"/>
      <c r="AG23" s="39">
        <v>6</v>
      </c>
      <c r="AH23" s="39">
        <v>18</v>
      </c>
      <c r="AI23" s="39" t="s">
        <v>30</v>
      </c>
      <c r="AJ23" s="212">
        <f t="array" ref="AJ23:AM23">LINEST(AE31:AE35,AD31:AD35^{1,2,3})</f>
        <v>0</v>
      </c>
      <c r="AK23" s="212">
        <v>0</v>
      </c>
      <c r="AL23" s="212">
        <v>0</v>
      </c>
      <c r="AM23" s="212">
        <v>0</v>
      </c>
      <c r="AN23" s="217">
        <f>BC48</f>
        <v>1</v>
      </c>
      <c r="AO23" s="218">
        <f>1-(((1-AN23)*(5-3-1)))</f>
        <v>1</v>
      </c>
      <c r="AP23" s="41"/>
      <c r="AQ23" s="30">
        <f t="shared" si="6"/>
        <v>0</v>
      </c>
      <c r="AR23" s="31">
        <f t="shared" si="7"/>
        <v>0</v>
      </c>
      <c r="AT23" s="399"/>
      <c r="AU23" s="399"/>
      <c r="AV23" s="5"/>
      <c r="AW23" s="42"/>
      <c r="AX23" s="37"/>
      <c r="AY23" s="5"/>
      <c r="AZ23" s="399"/>
      <c r="BA23" s="399"/>
      <c r="BB23" s="5" t="s">
        <v>31</v>
      </c>
      <c r="BC23" s="42">
        <v>1</v>
      </c>
      <c r="BD23" s="37">
        <v>0</v>
      </c>
      <c r="BE23" s="5" t="s">
        <v>68</v>
      </c>
      <c r="BG23" s="30">
        <f t="shared" si="8"/>
        <v>0</v>
      </c>
      <c r="BH23" s="63">
        <f t="shared" si="14"/>
        <v>0</v>
      </c>
      <c r="BI23" s="31"/>
      <c r="BJ23" s="39">
        <v>6</v>
      </c>
      <c r="BK23" s="39">
        <v>18</v>
      </c>
      <c r="BL23" s="39" t="s">
        <v>30</v>
      </c>
      <c r="BM23" s="40">
        <f t="array" ref="BM23:BP23">LINEST(BH31:BH35,BG31:BG35^{1,2,3})</f>
        <v>0</v>
      </c>
      <c r="BN23" s="40">
        <v>0</v>
      </c>
      <c r="BO23" s="40">
        <v>0</v>
      </c>
      <c r="BP23" s="40">
        <v>0</v>
      </c>
      <c r="BQ23" s="39">
        <f>CF48</f>
        <v>1</v>
      </c>
      <c r="BR23" s="47">
        <f>1-(((1-BQ23)*(5-3-1)))</f>
        <v>1</v>
      </c>
      <c r="BS23" s="41"/>
      <c r="BT23" s="30">
        <f t="shared" si="9"/>
        <v>0</v>
      </c>
      <c r="BU23" s="63">
        <f t="shared" si="10"/>
        <v>0</v>
      </c>
      <c r="BW23" s="399"/>
      <c r="BX23" s="399"/>
      <c r="BY23" s="5" t="s">
        <v>31</v>
      </c>
      <c r="BZ23" s="42">
        <v>1</v>
      </c>
      <c r="CA23" s="37">
        <v>0</v>
      </c>
      <c r="CB23" s="5" t="s">
        <v>68</v>
      </c>
      <c r="CC23" s="399"/>
      <c r="CD23" s="399"/>
      <c r="CE23" s="5" t="s">
        <v>31</v>
      </c>
      <c r="CF23" s="42">
        <v>1</v>
      </c>
      <c r="CG23" s="37">
        <v>0</v>
      </c>
      <c r="CH23" s="5" t="s">
        <v>68</v>
      </c>
      <c r="CJ23" s="358"/>
    </row>
    <row r="24" spans="1:88" ht="20" customHeight="1">
      <c r="A24" s="236">
        <f>A22*0.5+A26*0.5</f>
        <v>0</v>
      </c>
      <c r="B24" s="356">
        <f>ABS($M$7-A24)</f>
        <v>0</v>
      </c>
      <c r="C24" s="357"/>
      <c r="D24" s="96"/>
      <c r="E24" s="234"/>
      <c r="F24" s="402"/>
      <c r="G24" s="402"/>
      <c r="H24" s="83" t="s">
        <v>98</v>
      </c>
      <c r="I24" s="227">
        <f>IF(B24&lt;=$C$22,$M$7,A24)</f>
        <v>0</v>
      </c>
      <c r="J24" s="104">
        <f t="shared" si="21"/>
        <v>0</v>
      </c>
      <c r="K24" s="323">
        <f>('Inputs - Metric'!K24)*0.907</f>
        <v>0</v>
      </c>
      <c r="L24" s="233" t="s">
        <v>170</v>
      </c>
      <c r="M24" s="355">
        <f>'Inputs - Metric'!M24</f>
        <v>0</v>
      </c>
      <c r="N24" s="239"/>
      <c r="O24" s="230"/>
      <c r="P24" s="230"/>
      <c r="Q24" s="230"/>
      <c r="R24" s="403" t="s">
        <v>119</v>
      </c>
      <c r="S24" s="403"/>
      <c r="U24" s="20">
        <v>4</v>
      </c>
      <c r="V24" s="20">
        <v>19</v>
      </c>
      <c r="W24" s="20">
        <v>4</v>
      </c>
      <c r="X24" s="20">
        <f t="shared" si="18"/>
        <v>0</v>
      </c>
      <c r="Y24" s="22">
        <f t="shared" si="19"/>
        <v>0</v>
      </c>
      <c r="Z24" s="27">
        <f t="array" ref="Z24:AA24">LINEST(Y24:Y25,X24:X25^{1})</f>
        <v>0</v>
      </c>
      <c r="AA24" s="88">
        <v>0</v>
      </c>
      <c r="AB24" s="22">
        <f t="shared" si="3"/>
        <v>0</v>
      </c>
      <c r="AD24" s="30">
        <f t="shared" si="4"/>
        <v>0</v>
      </c>
      <c r="AE24" s="31">
        <f t="shared" si="20"/>
        <v>0</v>
      </c>
      <c r="AF24" s="31"/>
      <c r="AG24" s="5"/>
      <c r="AH24" s="5"/>
      <c r="AI24" s="5"/>
      <c r="AJ24" s="34"/>
      <c r="AK24" s="34"/>
      <c r="AL24" s="34"/>
      <c r="AM24" s="34"/>
      <c r="AQ24" s="30">
        <f t="shared" si="6"/>
        <v>0</v>
      </c>
      <c r="AR24" s="31">
        <f t="shared" si="7"/>
        <v>0</v>
      </c>
      <c r="AT24" s="399"/>
      <c r="AU24" s="399"/>
      <c r="AV24" s="5"/>
      <c r="AW24" s="42"/>
      <c r="AX24" s="37"/>
      <c r="AY24" s="5"/>
      <c r="AZ24" s="399"/>
      <c r="BA24" s="399"/>
      <c r="BB24" s="5" t="s">
        <v>69</v>
      </c>
      <c r="BC24" s="42" t="e">
        <v>#NUM!</v>
      </c>
      <c r="BD24" s="37">
        <v>3</v>
      </c>
      <c r="BE24" s="5" t="s">
        <v>70</v>
      </c>
      <c r="BG24" s="30">
        <f t="shared" si="8"/>
        <v>0</v>
      </c>
      <c r="BH24" s="63">
        <f t="shared" si="14"/>
        <v>0</v>
      </c>
      <c r="BI24" s="31"/>
      <c r="BJ24" s="5"/>
      <c r="BK24" s="5"/>
      <c r="BL24" s="5"/>
      <c r="BM24" s="34"/>
      <c r="BN24" s="34"/>
      <c r="BO24" s="34"/>
      <c r="BP24" s="34"/>
      <c r="BQ24" s="5"/>
      <c r="BR24" s="17"/>
      <c r="BS24" s="17"/>
      <c r="BT24" s="30">
        <f t="shared" si="9"/>
        <v>0</v>
      </c>
      <c r="BU24" s="63">
        <f t="shared" si="10"/>
        <v>0</v>
      </c>
      <c r="BW24" s="399"/>
      <c r="BX24" s="399"/>
      <c r="BY24" s="5" t="s">
        <v>69</v>
      </c>
      <c r="BZ24" s="42" t="e">
        <v>#NUM!</v>
      </c>
      <c r="CA24" s="37">
        <v>3</v>
      </c>
      <c r="CB24" s="5" t="s">
        <v>70</v>
      </c>
      <c r="CC24" s="399"/>
      <c r="CD24" s="399"/>
      <c r="CE24" s="5" t="s">
        <v>69</v>
      </c>
      <c r="CF24" s="42" t="e">
        <v>#NUM!</v>
      </c>
      <c r="CG24" s="37">
        <v>3</v>
      </c>
      <c r="CH24" s="5" t="s">
        <v>70</v>
      </c>
      <c r="CJ24" s="358"/>
    </row>
    <row r="25" spans="1:88" ht="20" customHeight="1">
      <c r="A25" s="236">
        <f>A22*0.26+A26*0.74</f>
        <v>0</v>
      </c>
      <c r="B25" s="356">
        <f>ABS($M$7-A25)</f>
        <v>0</v>
      </c>
      <c r="C25" s="357"/>
      <c r="D25" s="96"/>
      <c r="E25" s="234"/>
      <c r="F25" s="402"/>
      <c r="G25" s="402"/>
      <c r="H25" s="83" t="s">
        <v>98</v>
      </c>
      <c r="I25" s="227">
        <f>IF(M7=O7,A25,N25)</f>
        <v>0</v>
      </c>
      <c r="J25" s="104">
        <f t="shared" si="21"/>
        <v>0</v>
      </c>
      <c r="K25" s="323">
        <f>('Inputs - Metric'!K25)*0.907</f>
        <v>0</v>
      </c>
      <c r="L25" s="233" t="s">
        <v>170</v>
      </c>
      <c r="M25" s="355">
        <f>'Inputs - Metric'!M25</f>
        <v>0</v>
      </c>
      <c r="N25" s="239">
        <f>IF(B25=B26,$M$7, IF(B26=$C$22,$M$7, IF(B25&lt;=$C$22,$M$7,A25)))</f>
        <v>0</v>
      </c>
      <c r="O25" s="230"/>
      <c r="P25" s="230"/>
      <c r="Q25" s="230"/>
      <c r="R25" s="21" t="s">
        <v>114</v>
      </c>
      <c r="S25" s="21">
        <v>2</v>
      </c>
      <c r="U25" s="20">
        <v>4</v>
      </c>
      <c r="V25" s="20">
        <v>20</v>
      </c>
      <c r="W25" s="20">
        <v>5</v>
      </c>
      <c r="X25" s="20">
        <f t="shared" si="18"/>
        <v>0</v>
      </c>
      <c r="Y25" s="22">
        <f t="shared" si="19"/>
        <v>0</v>
      </c>
      <c r="Z25" s="27">
        <f t="array" ref="Z25:AA25">LINEST(Y24:Y25,X24:X25^{1})</f>
        <v>0</v>
      </c>
      <c r="AA25" s="88">
        <v>0</v>
      </c>
      <c r="AB25" s="22">
        <f t="shared" si="3"/>
        <v>0</v>
      </c>
      <c r="AD25" s="32">
        <f t="shared" si="4"/>
        <v>0</v>
      </c>
      <c r="AE25" s="31">
        <f t="shared" si="20"/>
        <v>0</v>
      </c>
      <c r="AF25" s="31"/>
      <c r="AG25" s="5"/>
      <c r="AH25" s="5"/>
      <c r="AI25" s="5"/>
      <c r="AJ25" s="34"/>
      <c r="AK25" s="34"/>
      <c r="AL25" s="34"/>
      <c r="AM25" s="34"/>
      <c r="AQ25" s="32">
        <f t="shared" si="6"/>
        <v>0</v>
      </c>
      <c r="AR25" s="33">
        <f t="shared" si="7"/>
        <v>0</v>
      </c>
      <c r="AT25" s="400"/>
      <c r="AU25" s="400"/>
      <c r="AV25" s="5"/>
      <c r="AW25" s="43"/>
      <c r="AX25" s="37"/>
      <c r="AY25" s="5"/>
      <c r="AZ25" s="400"/>
      <c r="BA25" s="400"/>
      <c r="BB25" s="5" t="s">
        <v>71</v>
      </c>
      <c r="BC25" s="43">
        <v>0</v>
      </c>
      <c r="BD25" s="37">
        <v>0</v>
      </c>
      <c r="BE25" s="5" t="s">
        <v>72</v>
      </c>
      <c r="BG25" s="30">
        <f t="shared" si="8"/>
        <v>0</v>
      </c>
      <c r="BH25" s="64">
        <f t="shared" si="14"/>
        <v>0</v>
      </c>
      <c r="BI25" s="31"/>
      <c r="BJ25" s="5"/>
      <c r="BK25" s="5"/>
      <c r="BL25" s="5"/>
      <c r="BM25" s="34"/>
      <c r="BN25" s="34"/>
      <c r="BO25" s="34"/>
      <c r="BP25" s="34"/>
      <c r="BQ25" s="5"/>
      <c r="BR25" s="17"/>
      <c r="BS25" s="17"/>
      <c r="BT25" s="32">
        <f t="shared" si="9"/>
        <v>0</v>
      </c>
      <c r="BU25" s="64">
        <f t="shared" si="10"/>
        <v>0</v>
      </c>
      <c r="BW25" s="400"/>
      <c r="BX25" s="400"/>
      <c r="BY25" s="5" t="s">
        <v>71</v>
      </c>
      <c r="BZ25" s="43">
        <v>0</v>
      </c>
      <c r="CA25" s="37">
        <v>0</v>
      </c>
      <c r="CB25" s="5" t="s">
        <v>72</v>
      </c>
      <c r="CC25" s="400"/>
      <c r="CD25" s="400"/>
      <c r="CE25" s="5" t="s">
        <v>71</v>
      </c>
      <c r="CF25" s="43">
        <v>0</v>
      </c>
      <c r="CG25" s="37">
        <v>0</v>
      </c>
      <c r="CH25" s="5" t="s">
        <v>72</v>
      </c>
      <c r="CJ25" s="358"/>
    </row>
    <row r="26" spans="1:88" ht="20" customHeight="1">
      <c r="A26" s="236">
        <f>O7</f>
        <v>0</v>
      </c>
      <c r="B26" s="356">
        <f>ABS($M$7-A26)</f>
        <v>0</v>
      </c>
      <c r="C26" s="357"/>
      <c r="D26" s="96"/>
      <c r="E26" s="234"/>
      <c r="F26" s="402"/>
      <c r="G26" s="402"/>
      <c r="H26" s="84" t="s">
        <v>43</v>
      </c>
      <c r="I26" s="104">
        <f>O7</f>
        <v>0</v>
      </c>
      <c r="J26" s="104">
        <f t="shared" si="21"/>
        <v>0</v>
      </c>
      <c r="K26" s="323">
        <f>('Inputs - Metric'!K26)*0.907</f>
        <v>0</v>
      </c>
      <c r="L26" s="233" t="s">
        <v>170</v>
      </c>
      <c r="M26" s="355">
        <f>'Inputs - Metric'!M26</f>
        <v>0</v>
      </c>
      <c r="N26" s="240"/>
      <c r="O26" s="230"/>
      <c r="P26" s="230"/>
      <c r="Q26" s="230"/>
      <c r="R26" s="21" t="s">
        <v>113</v>
      </c>
      <c r="S26" s="21">
        <v>1</v>
      </c>
      <c r="U26" s="20">
        <v>5</v>
      </c>
      <c r="V26" s="20">
        <v>21</v>
      </c>
      <c r="W26" s="20">
        <v>1</v>
      </c>
      <c r="X26" s="20">
        <f>SMALL($J$42:$J$46,W26)</f>
        <v>0</v>
      </c>
      <c r="Y26" s="22">
        <f>VLOOKUP(X26,$J$42:$K$46,2,FALSE)</f>
        <v>0</v>
      </c>
      <c r="Z26" s="27">
        <f t="array" ref="Z26:AA26">LINEST(Y26:Y27,X26:X27^{1})</f>
        <v>0</v>
      </c>
      <c r="AA26" s="88">
        <v>0</v>
      </c>
      <c r="AB26" s="22">
        <f t="shared" si="3"/>
        <v>0</v>
      </c>
      <c r="AD26" s="28">
        <f t="shared" si="4"/>
        <v>0</v>
      </c>
      <c r="AE26" s="29">
        <f>VLOOKUP(AD26,$J$42:$L$46,3,FALSE)</f>
        <v>0</v>
      </c>
      <c r="AF26" s="31"/>
      <c r="AG26" s="5"/>
      <c r="AH26" s="5"/>
      <c r="AI26" s="5"/>
      <c r="AJ26" s="34"/>
      <c r="AK26" s="34"/>
      <c r="AL26" s="34"/>
      <c r="AM26" s="34"/>
      <c r="AQ26" s="28">
        <f t="shared" si="6"/>
        <v>0</v>
      </c>
      <c r="AR26" s="29">
        <f t="shared" si="7"/>
        <v>0</v>
      </c>
      <c r="AT26" s="398"/>
      <c r="AU26" s="398"/>
      <c r="AV26" s="35"/>
      <c r="AW26" s="38"/>
      <c r="AX26" s="35"/>
      <c r="AY26" s="35"/>
      <c r="AZ26" s="398">
        <v>5</v>
      </c>
      <c r="BA26" s="398" t="s">
        <v>33</v>
      </c>
      <c r="BB26" s="35" t="s">
        <v>57</v>
      </c>
      <c r="BC26" s="36">
        <f t="array" ref="BC26:BD30">LINEST(AR26:AR30,AQ26:AQ30^{1,2},TRUE,TRUE)</f>
        <v>0</v>
      </c>
      <c r="BD26" s="35">
        <v>0</v>
      </c>
      <c r="BE26" s="35" t="s">
        <v>65</v>
      </c>
      <c r="BG26" s="30">
        <f t="shared" si="8"/>
        <v>0</v>
      </c>
      <c r="BH26" s="62">
        <f t="shared" si="14"/>
        <v>0</v>
      </c>
      <c r="BI26" s="31"/>
      <c r="BJ26" s="5"/>
      <c r="BK26" s="5"/>
      <c r="BL26" s="5"/>
      <c r="BM26" s="34"/>
      <c r="BN26" s="34"/>
      <c r="BO26" s="34"/>
      <c r="BP26" s="34"/>
      <c r="BQ26" s="5"/>
      <c r="BR26" s="17"/>
      <c r="BS26" s="17"/>
      <c r="BT26" s="30">
        <f t="shared" si="9"/>
        <v>0</v>
      </c>
      <c r="BU26" s="63">
        <f t="shared" si="10"/>
        <v>0</v>
      </c>
      <c r="BW26" s="398">
        <v>2</v>
      </c>
      <c r="BX26" s="398" t="s">
        <v>33</v>
      </c>
      <c r="BY26" s="35" t="s">
        <v>57</v>
      </c>
      <c r="BZ26" s="38">
        <f t="array" ref="BZ26:CA30">LINEST(BU10:BU14,BT10:BT14^{1,2},TRUE,TRUE)</f>
        <v>0</v>
      </c>
      <c r="CA26" s="35">
        <v>0</v>
      </c>
      <c r="CB26" s="35" t="s">
        <v>65</v>
      </c>
      <c r="CC26" s="398">
        <v>5</v>
      </c>
      <c r="CD26" s="398" t="s">
        <v>33</v>
      </c>
      <c r="CE26" s="35" t="s">
        <v>57</v>
      </c>
      <c r="CF26" s="36">
        <f t="array" ref="CF26:CG30">LINEST(BU26:BU30,BT26:BT30^{1,2},TRUE,TRUE)</f>
        <v>0</v>
      </c>
      <c r="CG26" s="35">
        <v>0</v>
      </c>
      <c r="CH26" s="35" t="s">
        <v>65</v>
      </c>
      <c r="CJ26" s="358"/>
    </row>
    <row r="27" spans="1:88" ht="20" customHeight="1">
      <c r="A27" s="236">
        <f>N8</f>
        <v>0</v>
      </c>
      <c r="B27" s="356">
        <f>ABS($M$8-A27)</f>
        <v>0</v>
      </c>
      <c r="C27" s="279">
        <f>MIN(B27:B31)</f>
        <v>0</v>
      </c>
      <c r="D27" s="96"/>
      <c r="E27" s="234"/>
      <c r="F27" s="402">
        <v>2</v>
      </c>
      <c r="G27" s="402"/>
      <c r="H27" s="84" t="s">
        <v>42</v>
      </c>
      <c r="I27" s="104">
        <f>N8</f>
        <v>0</v>
      </c>
      <c r="J27" s="104">
        <f>ROUNDUP(I27,0)</f>
        <v>0</v>
      </c>
      <c r="K27" s="323">
        <f>('Inputs - Metric'!K27)*0.907</f>
        <v>0</v>
      </c>
      <c r="L27" s="233" t="s">
        <v>170</v>
      </c>
      <c r="M27" s="355">
        <f>'Inputs - Metric'!M27</f>
        <v>0</v>
      </c>
      <c r="N27" s="240"/>
      <c r="O27" s="229"/>
      <c r="P27" s="229"/>
      <c r="Q27" s="229"/>
      <c r="R27" s="17"/>
      <c r="S27" s="17"/>
      <c r="U27" s="20">
        <v>5</v>
      </c>
      <c r="V27" s="20">
        <v>22</v>
      </c>
      <c r="W27" s="20">
        <v>2</v>
      </c>
      <c r="X27" s="20">
        <f t="shared" ref="X27:X30" si="22">SMALL($J$42:$J$46,W27)</f>
        <v>0</v>
      </c>
      <c r="Y27" s="22">
        <f t="shared" ref="Y27:Y30" si="23">VLOOKUP(X27,$J$42:$K$46,2,FALSE)</f>
        <v>0</v>
      </c>
      <c r="Z27" s="27">
        <f t="array" ref="Z27:AA27">LINEST(Y27:Y28,X27:X28^{1})</f>
        <v>0</v>
      </c>
      <c r="AA27" s="88">
        <v>0</v>
      </c>
      <c r="AB27" s="22">
        <f t="shared" si="3"/>
        <v>0</v>
      </c>
      <c r="AD27" s="30">
        <f t="shared" si="4"/>
        <v>0</v>
      </c>
      <c r="AE27" s="31">
        <f t="shared" ref="AE27:AE30" si="24">VLOOKUP(AD27,$J$42:$L$46,3,FALSE)</f>
        <v>0</v>
      </c>
      <c r="AF27" s="31"/>
      <c r="AG27" s="5"/>
      <c r="AH27" s="5"/>
      <c r="AI27" s="5"/>
      <c r="AJ27" s="34"/>
      <c r="AK27" s="34"/>
      <c r="AL27" s="34"/>
      <c r="AM27" s="34"/>
      <c r="AQ27" s="30">
        <f t="shared" si="6"/>
        <v>0</v>
      </c>
      <c r="AR27" s="31">
        <f t="shared" si="7"/>
        <v>0</v>
      </c>
      <c r="AT27" s="401"/>
      <c r="AU27" s="401"/>
      <c r="AV27" s="37"/>
      <c r="AW27" s="42"/>
      <c r="AX27" s="37"/>
      <c r="AY27" s="37"/>
      <c r="AZ27" s="401"/>
      <c r="BA27" s="401"/>
      <c r="BB27" s="37" t="s">
        <v>66</v>
      </c>
      <c r="BC27" s="42">
        <v>0</v>
      </c>
      <c r="BD27" s="37">
        <v>0</v>
      </c>
      <c r="BE27" s="37" t="s">
        <v>67</v>
      </c>
      <c r="BG27" s="30">
        <f t="shared" si="8"/>
        <v>0</v>
      </c>
      <c r="BH27" s="63">
        <f t="shared" si="14"/>
        <v>0</v>
      </c>
      <c r="BI27" s="31"/>
      <c r="BJ27" s="5"/>
      <c r="BK27" s="5"/>
      <c r="BL27" s="5"/>
      <c r="BM27" s="34"/>
      <c r="BN27" s="34"/>
      <c r="BO27" s="34"/>
      <c r="BP27" s="34"/>
      <c r="BQ27" s="5"/>
      <c r="BR27" s="17"/>
      <c r="BS27" s="17"/>
      <c r="BT27" s="30">
        <f t="shared" si="9"/>
        <v>0</v>
      </c>
      <c r="BU27" s="63">
        <f t="shared" si="10"/>
        <v>0</v>
      </c>
      <c r="BW27" s="401"/>
      <c r="BX27" s="401"/>
      <c r="BY27" s="37" t="s">
        <v>66</v>
      </c>
      <c r="BZ27" s="42">
        <v>0</v>
      </c>
      <c r="CA27" s="37">
        <v>0</v>
      </c>
      <c r="CB27" s="37" t="s">
        <v>67</v>
      </c>
      <c r="CC27" s="401"/>
      <c r="CD27" s="401"/>
      <c r="CE27" s="37" t="s">
        <v>66</v>
      </c>
      <c r="CF27" s="42">
        <v>0</v>
      </c>
      <c r="CG27" s="37">
        <v>0</v>
      </c>
      <c r="CH27" s="37" t="s">
        <v>67</v>
      </c>
      <c r="CJ27" s="358"/>
    </row>
    <row r="28" spans="1:88" ht="20" customHeight="1">
      <c r="A28" s="236">
        <f>A27*0.76+A31*0.24</f>
        <v>0</v>
      </c>
      <c r="B28" s="356">
        <f>ABS($M$8-A28)</f>
        <v>0</v>
      </c>
      <c r="C28" s="357"/>
      <c r="D28" s="96"/>
      <c r="E28" s="234"/>
      <c r="F28" s="402"/>
      <c r="G28" s="402"/>
      <c r="H28" s="83" t="s">
        <v>98</v>
      </c>
      <c r="I28" s="227">
        <f>IF(M8=N8,A28,N28)</f>
        <v>0</v>
      </c>
      <c r="J28" s="104">
        <f t="shared" si="21"/>
        <v>0</v>
      </c>
      <c r="K28" s="323">
        <f>('Inputs - Metric'!K28)*0.907</f>
        <v>0</v>
      </c>
      <c r="L28" s="233" t="s">
        <v>170</v>
      </c>
      <c r="M28" s="355">
        <f>'Inputs - Metric'!M28</f>
        <v>0</v>
      </c>
      <c r="N28" s="239">
        <f>IF(B27=B28,$M$8,IF(B27=$C$27,$M$8, IF(B28&lt;=$C$27,$M$8,A28)))</f>
        <v>0</v>
      </c>
      <c r="O28" s="229"/>
      <c r="P28" s="229"/>
      <c r="Q28" s="229"/>
      <c r="R28" s="405" t="s">
        <v>169</v>
      </c>
      <c r="S28" s="405"/>
      <c r="U28" s="20">
        <v>5</v>
      </c>
      <c r="V28" s="20">
        <v>23</v>
      </c>
      <c r="W28" s="20">
        <v>3</v>
      </c>
      <c r="X28" s="20">
        <f t="shared" si="22"/>
        <v>0</v>
      </c>
      <c r="Y28" s="22">
        <f t="shared" si="23"/>
        <v>0</v>
      </c>
      <c r="Z28" s="27">
        <f t="array" ref="Z28:AA28">LINEST(Y28:Y29,X28:X29^{1})</f>
        <v>0</v>
      </c>
      <c r="AA28" s="88">
        <v>0</v>
      </c>
      <c r="AB28" s="22">
        <f t="shared" si="3"/>
        <v>0</v>
      </c>
      <c r="AD28" s="30">
        <f t="shared" si="4"/>
        <v>0</v>
      </c>
      <c r="AE28" s="31">
        <f t="shared" si="24"/>
        <v>0</v>
      </c>
      <c r="AF28" s="31"/>
      <c r="AG28" s="5"/>
      <c r="AH28" s="5"/>
      <c r="AI28" s="5"/>
      <c r="AJ28" s="34"/>
      <c r="AK28" s="34"/>
      <c r="AL28" s="34"/>
      <c r="AM28" s="34"/>
      <c r="AQ28" s="30">
        <f t="shared" si="6"/>
        <v>0</v>
      </c>
      <c r="AR28" s="31">
        <f t="shared" si="7"/>
        <v>0</v>
      </c>
      <c r="AT28" s="401"/>
      <c r="AU28" s="401"/>
      <c r="AV28" s="37"/>
      <c r="AW28" s="42"/>
      <c r="AX28" s="37"/>
      <c r="AY28" s="37"/>
      <c r="AZ28" s="401"/>
      <c r="BA28" s="401"/>
      <c r="BB28" s="37" t="s">
        <v>31</v>
      </c>
      <c r="BC28" s="42">
        <v>1</v>
      </c>
      <c r="BD28" s="37">
        <v>0</v>
      </c>
      <c r="BE28" s="37" t="s">
        <v>68</v>
      </c>
      <c r="BG28" s="30">
        <f t="shared" si="8"/>
        <v>0</v>
      </c>
      <c r="BH28" s="63">
        <f t="shared" si="14"/>
        <v>0</v>
      </c>
      <c r="BI28" s="31"/>
      <c r="BJ28" s="5"/>
      <c r="BK28" s="5"/>
      <c r="BL28" s="5"/>
      <c r="BM28" s="34"/>
      <c r="BN28" s="34"/>
      <c r="BO28" s="34"/>
      <c r="BP28" s="34"/>
      <c r="BQ28" s="5"/>
      <c r="BR28" s="17"/>
      <c r="BS28" s="17"/>
      <c r="BT28" s="30">
        <f t="shared" si="9"/>
        <v>0</v>
      </c>
      <c r="BU28" s="63">
        <f t="shared" si="10"/>
        <v>0</v>
      </c>
      <c r="BW28" s="401"/>
      <c r="BX28" s="401"/>
      <c r="BY28" s="37" t="s">
        <v>31</v>
      </c>
      <c r="BZ28" s="42">
        <v>1</v>
      </c>
      <c r="CA28" s="37">
        <v>0</v>
      </c>
      <c r="CB28" s="37" t="s">
        <v>68</v>
      </c>
      <c r="CC28" s="401"/>
      <c r="CD28" s="401"/>
      <c r="CE28" s="37" t="s">
        <v>31</v>
      </c>
      <c r="CF28" s="42">
        <v>1</v>
      </c>
      <c r="CG28" s="37">
        <v>0</v>
      </c>
      <c r="CH28" s="37" t="s">
        <v>68</v>
      </c>
      <c r="CJ28" s="358"/>
    </row>
    <row r="29" spans="1:88" ht="20" customHeight="1">
      <c r="A29" s="236">
        <f>A27*0.5+A31*0.5</f>
        <v>0</v>
      </c>
      <c r="B29" s="356">
        <f>ABS($M$8-A29)</f>
        <v>0</v>
      </c>
      <c r="C29" s="357"/>
      <c r="D29" s="96"/>
      <c r="E29" s="234"/>
      <c r="F29" s="402"/>
      <c r="G29" s="402"/>
      <c r="H29" s="83" t="s">
        <v>98</v>
      </c>
      <c r="I29" s="227">
        <f>IF(B29&lt;=$C$27,$M$8,A29)</f>
        <v>0</v>
      </c>
      <c r="J29" s="104">
        <f t="shared" si="21"/>
        <v>0</v>
      </c>
      <c r="K29" s="323">
        <f>('Inputs - Metric'!K29)*0.907</f>
        <v>0</v>
      </c>
      <c r="L29" s="233" t="s">
        <v>170</v>
      </c>
      <c r="M29" s="355">
        <f>'Inputs - Metric'!M29</f>
        <v>0</v>
      </c>
      <c r="N29" s="239"/>
      <c r="O29" s="229"/>
      <c r="P29" s="229"/>
      <c r="Q29" s="229"/>
      <c r="R29" s="5" t="s">
        <v>42</v>
      </c>
      <c r="S29" s="20">
        <v>900</v>
      </c>
      <c r="U29" s="20">
        <v>5</v>
      </c>
      <c r="V29" s="20">
        <v>24</v>
      </c>
      <c r="W29" s="20">
        <v>4</v>
      </c>
      <c r="X29" s="20">
        <f t="shared" si="22"/>
        <v>0</v>
      </c>
      <c r="Y29" s="22">
        <f t="shared" si="23"/>
        <v>0</v>
      </c>
      <c r="Z29" s="27">
        <f t="array" ref="Z29:AA29">LINEST(Y29:Y30,X29:X30^{1})</f>
        <v>0</v>
      </c>
      <c r="AA29" s="88">
        <v>0</v>
      </c>
      <c r="AB29" s="22">
        <f t="shared" si="3"/>
        <v>0</v>
      </c>
      <c r="AD29" s="30">
        <f t="shared" si="4"/>
        <v>0</v>
      </c>
      <c r="AE29" s="31">
        <f t="shared" si="24"/>
        <v>0</v>
      </c>
      <c r="AF29" s="31"/>
      <c r="AG29" s="5"/>
      <c r="AH29" s="5"/>
      <c r="AI29" s="5"/>
      <c r="AJ29" s="34"/>
      <c r="AK29" s="34"/>
      <c r="AL29" s="34"/>
      <c r="AM29" s="34"/>
      <c r="AQ29" s="30">
        <f t="shared" si="6"/>
        <v>0</v>
      </c>
      <c r="AR29" s="31">
        <f t="shared" si="7"/>
        <v>0</v>
      </c>
      <c r="AT29" s="401"/>
      <c r="AU29" s="401"/>
      <c r="AV29" s="37"/>
      <c r="AW29" s="42"/>
      <c r="AX29" s="37"/>
      <c r="AY29" s="37"/>
      <c r="AZ29" s="401"/>
      <c r="BA29" s="401"/>
      <c r="BB29" s="37" t="s">
        <v>69</v>
      </c>
      <c r="BC29" s="42" t="e">
        <v>#NUM!</v>
      </c>
      <c r="BD29" s="37">
        <v>2</v>
      </c>
      <c r="BE29" s="37" t="s">
        <v>70</v>
      </c>
      <c r="BG29" s="30">
        <f t="shared" si="8"/>
        <v>0</v>
      </c>
      <c r="BH29" s="63">
        <f t="shared" si="14"/>
        <v>0</v>
      </c>
      <c r="BI29" s="31"/>
      <c r="BJ29" s="5"/>
      <c r="BK29" s="5"/>
      <c r="BL29" s="5"/>
      <c r="BM29" s="34"/>
      <c r="BN29" s="34"/>
      <c r="BO29" s="34"/>
      <c r="BP29" s="34"/>
      <c r="BQ29" s="5"/>
      <c r="BR29" s="17"/>
      <c r="BS29" s="17"/>
      <c r="BT29" s="30">
        <f t="shared" si="9"/>
        <v>0</v>
      </c>
      <c r="BU29" s="63">
        <f t="shared" si="10"/>
        <v>0</v>
      </c>
      <c r="BW29" s="401"/>
      <c r="BX29" s="401"/>
      <c r="BY29" s="37" t="s">
        <v>69</v>
      </c>
      <c r="BZ29" s="42" t="e">
        <v>#NUM!</v>
      </c>
      <c r="CA29" s="37">
        <v>2</v>
      </c>
      <c r="CB29" s="37" t="s">
        <v>70</v>
      </c>
      <c r="CC29" s="401"/>
      <c r="CD29" s="401"/>
      <c r="CE29" s="37" t="s">
        <v>69</v>
      </c>
      <c r="CF29" s="42" t="e">
        <v>#NUM!</v>
      </c>
      <c r="CG29" s="37">
        <v>2</v>
      </c>
      <c r="CH29" s="37" t="s">
        <v>70</v>
      </c>
      <c r="CJ29" s="358"/>
    </row>
    <row r="30" spans="1:88" ht="20" customHeight="1">
      <c r="A30" s="236">
        <f>A27*0.26+A31*0.74</f>
        <v>0</v>
      </c>
      <c r="B30" s="356">
        <f>ABS($M$8-A30)</f>
        <v>0</v>
      </c>
      <c r="C30" s="357"/>
      <c r="D30" s="96"/>
      <c r="E30" s="234"/>
      <c r="F30" s="402"/>
      <c r="G30" s="402"/>
      <c r="H30" s="83" t="s">
        <v>98</v>
      </c>
      <c r="I30" s="227">
        <f>IF(M8=O8,A30,N30)</f>
        <v>0</v>
      </c>
      <c r="J30" s="104">
        <f t="shared" si="21"/>
        <v>0</v>
      </c>
      <c r="K30" s="323">
        <f>('Inputs - Metric'!K30)*0.907</f>
        <v>0</v>
      </c>
      <c r="L30" s="233" t="s">
        <v>170</v>
      </c>
      <c r="M30" s="355">
        <f>'Inputs - Metric'!M30</f>
        <v>0</v>
      </c>
      <c r="N30" s="239">
        <f>IF(B30=B31,$M$8, IF(B31=$C$27,$M$8, IF(B30&lt;=$C$27,$M$8,A30)))</f>
        <v>0</v>
      </c>
      <c r="O30" s="229"/>
      <c r="P30" s="229"/>
      <c r="R30" s="5" t="s">
        <v>43</v>
      </c>
      <c r="S30" s="20">
        <v>1300</v>
      </c>
      <c r="U30" s="20">
        <v>5</v>
      </c>
      <c r="V30" s="20">
        <v>25</v>
      </c>
      <c r="W30" s="20">
        <v>5</v>
      </c>
      <c r="X30" s="20">
        <f t="shared" si="22"/>
        <v>0</v>
      </c>
      <c r="Y30" s="22">
        <f t="shared" si="23"/>
        <v>0</v>
      </c>
      <c r="Z30" s="27">
        <f t="array" ref="Z30:AA30">LINEST(Y29:Y30,X29:X30^{1})</f>
        <v>0</v>
      </c>
      <c r="AA30" s="88">
        <v>0</v>
      </c>
      <c r="AB30" s="22">
        <f t="shared" si="3"/>
        <v>0</v>
      </c>
      <c r="AD30" s="32">
        <f t="shared" si="4"/>
        <v>0</v>
      </c>
      <c r="AE30" s="31">
        <f t="shared" si="24"/>
        <v>0</v>
      </c>
      <c r="AF30" s="31"/>
      <c r="AG30" s="5"/>
      <c r="AH30" s="5"/>
      <c r="AI30" s="5"/>
      <c r="AJ30" s="34"/>
      <c r="AK30" s="34"/>
      <c r="AL30" s="34"/>
      <c r="AM30" s="34"/>
      <c r="AQ30" s="32">
        <f t="shared" si="6"/>
        <v>0</v>
      </c>
      <c r="AR30" s="33">
        <f t="shared" si="7"/>
        <v>0</v>
      </c>
      <c r="AT30" s="400"/>
      <c r="AU30" s="400"/>
      <c r="AV30" s="39"/>
      <c r="AW30" s="42"/>
      <c r="AX30" s="39"/>
      <c r="AY30" s="39"/>
      <c r="AZ30" s="400"/>
      <c r="BA30" s="400"/>
      <c r="BB30" s="39" t="s">
        <v>71</v>
      </c>
      <c r="BC30" s="42">
        <v>0</v>
      </c>
      <c r="BD30" s="39">
        <v>0</v>
      </c>
      <c r="BE30" s="39" t="s">
        <v>72</v>
      </c>
      <c r="BG30" s="30">
        <f t="shared" si="8"/>
        <v>0</v>
      </c>
      <c r="BH30" s="64">
        <f t="shared" si="14"/>
        <v>0</v>
      </c>
      <c r="BI30" s="31"/>
      <c r="BJ30" s="5"/>
      <c r="BK30" s="5"/>
      <c r="BL30" s="5"/>
      <c r="BM30" s="34"/>
      <c r="BN30" s="34"/>
      <c r="BO30" s="34"/>
      <c r="BP30" s="34"/>
      <c r="BQ30" s="5"/>
      <c r="BR30" s="17"/>
      <c r="BS30" s="17"/>
      <c r="BT30" s="30">
        <f t="shared" si="9"/>
        <v>0</v>
      </c>
      <c r="BU30" s="63">
        <f t="shared" si="10"/>
        <v>0</v>
      </c>
      <c r="BW30" s="400"/>
      <c r="BX30" s="400"/>
      <c r="BY30" s="39" t="s">
        <v>71</v>
      </c>
      <c r="BZ30" s="42">
        <v>0</v>
      </c>
      <c r="CA30" s="39">
        <v>0</v>
      </c>
      <c r="CB30" s="39" t="s">
        <v>72</v>
      </c>
      <c r="CC30" s="400"/>
      <c r="CD30" s="400"/>
      <c r="CE30" s="39" t="s">
        <v>71</v>
      </c>
      <c r="CF30" s="42">
        <v>0</v>
      </c>
      <c r="CG30" s="39">
        <v>0</v>
      </c>
      <c r="CH30" s="39" t="s">
        <v>72</v>
      </c>
      <c r="CJ30" s="358"/>
    </row>
    <row r="31" spans="1:88" ht="20" customHeight="1">
      <c r="A31" s="236">
        <f>O8</f>
        <v>0</v>
      </c>
      <c r="B31" s="356">
        <f>ABS($M$8-A31)</f>
        <v>0</v>
      </c>
      <c r="C31" s="357"/>
      <c r="D31" s="96"/>
      <c r="E31" s="234"/>
      <c r="F31" s="402"/>
      <c r="G31" s="402"/>
      <c r="H31" s="84" t="s">
        <v>43</v>
      </c>
      <c r="I31" s="104">
        <f>O8</f>
        <v>0</v>
      </c>
      <c r="J31" s="104">
        <f t="shared" si="21"/>
        <v>0</v>
      </c>
      <c r="K31" s="323">
        <f>('Inputs - Metric'!K31)*0.907</f>
        <v>0</v>
      </c>
      <c r="L31" s="233" t="s">
        <v>170</v>
      </c>
      <c r="M31" s="355">
        <f>'Inputs - Metric'!M31</f>
        <v>0</v>
      </c>
      <c r="N31" s="240"/>
      <c r="O31" s="229"/>
      <c r="P31" s="229"/>
      <c r="R31" s="17"/>
      <c r="S31" s="17"/>
      <c r="U31" s="20">
        <v>6</v>
      </c>
      <c r="V31" s="20">
        <v>26</v>
      </c>
      <c r="W31" s="20">
        <v>1</v>
      </c>
      <c r="X31" s="20">
        <f>SMALL($J$47:$J$51,W31)</f>
        <v>0</v>
      </c>
      <c r="Y31" s="22">
        <f>VLOOKUP(X31,$J$47:$K$51,2,FALSE)</f>
        <v>0</v>
      </c>
      <c r="Z31" s="27">
        <f t="array" ref="Z31:AA31">LINEST(Y31:Y32,X31:X32^{1})</f>
        <v>0</v>
      </c>
      <c r="AA31" s="88">
        <v>0</v>
      </c>
      <c r="AB31" s="22">
        <f t="shared" si="3"/>
        <v>0</v>
      </c>
      <c r="AD31" s="28">
        <f t="shared" si="4"/>
        <v>0</v>
      </c>
      <c r="AE31" s="29">
        <f>VLOOKUP(AD31,$J$47:$L$51,3,FALSE)</f>
        <v>0</v>
      </c>
      <c r="AF31" s="31"/>
      <c r="AG31" s="5"/>
      <c r="AH31" s="5"/>
      <c r="AI31" s="5"/>
      <c r="AJ31" s="34"/>
      <c r="AK31" s="34"/>
      <c r="AL31" s="34"/>
      <c r="AM31" s="34"/>
      <c r="AQ31" s="28">
        <f t="shared" si="6"/>
        <v>0</v>
      </c>
      <c r="AR31" s="29">
        <f t="shared" si="7"/>
        <v>0</v>
      </c>
      <c r="AT31" s="398"/>
      <c r="AU31" s="398"/>
      <c r="AV31" s="5"/>
      <c r="AW31" s="36"/>
      <c r="AX31" s="37"/>
      <c r="AY31" s="5"/>
      <c r="AZ31" s="398">
        <v>5</v>
      </c>
      <c r="BA31" s="398" t="s">
        <v>30</v>
      </c>
      <c r="BB31" s="5" t="s">
        <v>57</v>
      </c>
      <c r="BC31" s="36">
        <f t="array" ref="BC31:BD35">LINEST(AR26:AR30,AQ26:AQ30^{1,2,3},TRUE,TRUE)</f>
        <v>0</v>
      </c>
      <c r="BD31" s="37">
        <v>0</v>
      </c>
      <c r="BE31" s="5" t="s">
        <v>65</v>
      </c>
      <c r="BG31" s="30">
        <f t="shared" si="8"/>
        <v>0</v>
      </c>
      <c r="BH31" s="62">
        <f t="shared" si="14"/>
        <v>0</v>
      </c>
      <c r="BI31" s="31"/>
      <c r="BJ31" s="5"/>
      <c r="BK31" s="5"/>
      <c r="BL31" s="5"/>
      <c r="BM31" s="34"/>
      <c r="BN31" s="34"/>
      <c r="BO31" s="34"/>
      <c r="BP31" s="34"/>
      <c r="BQ31" s="5"/>
      <c r="BR31" s="17"/>
      <c r="BS31" s="17"/>
      <c r="BT31" s="28">
        <f t="shared" si="9"/>
        <v>0</v>
      </c>
      <c r="BU31" s="62">
        <f t="shared" si="10"/>
        <v>0</v>
      </c>
      <c r="BW31" s="398">
        <v>3</v>
      </c>
      <c r="BX31" s="398" t="s">
        <v>30</v>
      </c>
      <c r="BY31" s="5" t="s">
        <v>57</v>
      </c>
      <c r="BZ31" s="36">
        <f t="array" ref="BZ31:CA35">LINEST(BU10:BU14,BT10:BT14^{1,2,3},TRUE,TRUE)</f>
        <v>0</v>
      </c>
      <c r="CA31" s="37">
        <v>0</v>
      </c>
      <c r="CB31" s="5" t="s">
        <v>65</v>
      </c>
      <c r="CC31" s="398">
        <v>5</v>
      </c>
      <c r="CD31" s="398" t="s">
        <v>30</v>
      </c>
      <c r="CE31" s="5" t="s">
        <v>57</v>
      </c>
      <c r="CF31" s="36">
        <f t="array" ref="CF31:CG35">LINEST(BU26:BU30,BT26:BT30^{1,2,3},TRUE,TRUE)</f>
        <v>0</v>
      </c>
      <c r="CG31" s="37">
        <v>0</v>
      </c>
      <c r="CH31" s="5" t="s">
        <v>65</v>
      </c>
      <c r="CJ31" s="358"/>
    </row>
    <row r="32" spans="1:88" ht="20" customHeight="1">
      <c r="A32" s="236">
        <f>N9</f>
        <v>0</v>
      </c>
      <c r="B32" s="356">
        <f>ABS($M$9-A32)</f>
        <v>0</v>
      </c>
      <c r="C32" s="279">
        <f>MIN(B32:B36)</f>
        <v>0</v>
      </c>
      <c r="D32" s="96"/>
      <c r="E32" s="234"/>
      <c r="F32" s="402">
        <v>3</v>
      </c>
      <c r="G32" s="402"/>
      <c r="H32" s="84" t="s">
        <v>42</v>
      </c>
      <c r="I32" s="104">
        <f>N9</f>
        <v>0</v>
      </c>
      <c r="J32" s="104">
        <f t="shared" si="21"/>
        <v>0</v>
      </c>
      <c r="K32" s="323">
        <f>('Inputs - Metric'!K32)*0.907</f>
        <v>0</v>
      </c>
      <c r="L32" s="324">
        <f>'Inputs - Metric'!L32</f>
        <v>0</v>
      </c>
      <c r="M32" s="355">
        <f>'Inputs - Metric'!M32</f>
        <v>0</v>
      </c>
      <c r="N32" s="240"/>
      <c r="O32" s="229"/>
      <c r="P32" s="229"/>
      <c r="R32" s="17"/>
      <c r="S32" s="17"/>
      <c r="U32" s="20">
        <v>6</v>
      </c>
      <c r="V32" s="20">
        <v>27</v>
      </c>
      <c r="W32" s="20">
        <v>2</v>
      </c>
      <c r="X32" s="20">
        <f t="shared" ref="X32:X35" si="25">SMALL($J$47:$J$51,W32)</f>
        <v>0</v>
      </c>
      <c r="Y32" s="22">
        <f t="shared" ref="Y32:Y35" si="26">VLOOKUP(X32,$J$47:$K$51,2,FALSE)</f>
        <v>0</v>
      </c>
      <c r="Z32" s="27">
        <f t="array" ref="Z32:AA32">LINEST(Y32:Y33,X32:X33^{1})</f>
        <v>0</v>
      </c>
      <c r="AA32" s="88">
        <v>0</v>
      </c>
      <c r="AB32" s="22">
        <f t="shared" si="3"/>
        <v>0</v>
      </c>
      <c r="AD32" s="30">
        <f t="shared" si="4"/>
        <v>0</v>
      </c>
      <c r="AE32" s="31">
        <f t="shared" ref="AE32:AE35" si="27">VLOOKUP(AD32,$J$47:$L$51,3,FALSE)</f>
        <v>0</v>
      </c>
      <c r="AF32" s="31"/>
      <c r="AG32" s="5"/>
      <c r="AH32" s="5"/>
      <c r="AI32" s="5"/>
      <c r="AJ32" s="34"/>
      <c r="AK32" s="34"/>
      <c r="AL32" s="34"/>
      <c r="AM32" s="34"/>
      <c r="AQ32" s="30">
        <f t="shared" si="6"/>
        <v>0</v>
      </c>
      <c r="AR32" s="31">
        <f t="shared" si="7"/>
        <v>0</v>
      </c>
      <c r="AT32" s="399"/>
      <c r="AU32" s="399"/>
      <c r="AV32" s="5"/>
      <c r="AW32" s="42"/>
      <c r="AX32" s="37"/>
      <c r="AY32" s="5"/>
      <c r="AZ32" s="399"/>
      <c r="BA32" s="399"/>
      <c r="BB32" s="5" t="s">
        <v>66</v>
      </c>
      <c r="BC32" s="42">
        <v>0</v>
      </c>
      <c r="BD32" s="37">
        <v>0</v>
      </c>
      <c r="BE32" s="5" t="s">
        <v>67</v>
      </c>
      <c r="BG32" s="30">
        <f t="shared" si="8"/>
        <v>0</v>
      </c>
      <c r="BH32" s="63">
        <f t="shared" si="14"/>
        <v>0</v>
      </c>
      <c r="BI32" s="31"/>
      <c r="BJ32" s="5"/>
      <c r="BK32" s="5"/>
      <c r="BL32" s="5"/>
      <c r="BM32" s="34"/>
      <c r="BN32" s="34"/>
      <c r="BO32" s="34"/>
      <c r="BP32" s="34"/>
      <c r="BQ32" s="5"/>
      <c r="BR32" s="17"/>
      <c r="BS32" s="17"/>
      <c r="BT32" s="30">
        <f t="shared" si="9"/>
        <v>0</v>
      </c>
      <c r="BU32" s="63">
        <f t="shared" si="10"/>
        <v>0</v>
      </c>
      <c r="BW32" s="399"/>
      <c r="BX32" s="399"/>
      <c r="BY32" s="5" t="s">
        <v>66</v>
      </c>
      <c r="BZ32" s="42">
        <v>0</v>
      </c>
      <c r="CA32" s="37">
        <v>0</v>
      </c>
      <c r="CB32" s="5" t="s">
        <v>67</v>
      </c>
      <c r="CC32" s="399"/>
      <c r="CD32" s="399"/>
      <c r="CE32" s="5" t="s">
        <v>66</v>
      </c>
      <c r="CF32" s="42">
        <v>0</v>
      </c>
      <c r="CG32" s="37">
        <v>0</v>
      </c>
      <c r="CH32" s="5" t="s">
        <v>67</v>
      </c>
      <c r="CJ32" s="358"/>
    </row>
    <row r="33" spans="1:88" ht="20" customHeight="1">
      <c r="A33" s="236">
        <f>A32*0.76+A36*0.24</f>
        <v>0</v>
      </c>
      <c r="B33" s="356">
        <f>ABS($M$9-A33)</f>
        <v>0</v>
      </c>
      <c r="C33" s="357"/>
      <c r="D33" s="96"/>
      <c r="E33" s="234"/>
      <c r="F33" s="402"/>
      <c r="G33" s="402"/>
      <c r="H33" s="83" t="s">
        <v>98</v>
      </c>
      <c r="I33" s="227">
        <f>IF(M9=N9,A33,N33)</f>
        <v>0</v>
      </c>
      <c r="J33" s="104">
        <f t="shared" si="21"/>
        <v>0</v>
      </c>
      <c r="K33" s="323">
        <f>('Inputs - Metric'!K33)*0.907</f>
        <v>0</v>
      </c>
      <c r="L33" s="324">
        <f>'Inputs - Metric'!L33</f>
        <v>0</v>
      </c>
      <c r="M33" s="355">
        <f>'Inputs - Metric'!M33</f>
        <v>0</v>
      </c>
      <c r="N33" s="239">
        <f>IF(B32=B33,$M$9,IF(B32=$C$32,$M$9, IF(B33&lt;=$C$32,$M$9,A33)))</f>
        <v>0</v>
      </c>
      <c r="O33" s="229"/>
      <c r="P33" s="229"/>
      <c r="R33" s="17"/>
      <c r="S33" s="17"/>
      <c r="U33" s="20">
        <v>6</v>
      </c>
      <c r="V33" s="20">
        <v>28</v>
      </c>
      <c r="W33" s="20">
        <v>3</v>
      </c>
      <c r="X33" s="20">
        <f t="shared" si="25"/>
        <v>0</v>
      </c>
      <c r="Y33" s="22">
        <f t="shared" si="26"/>
        <v>0</v>
      </c>
      <c r="Z33" s="27">
        <f t="array" ref="Z33:AA33">LINEST(Y33:Y34,X33:X34^{1})</f>
        <v>0</v>
      </c>
      <c r="AA33" s="88">
        <v>0</v>
      </c>
      <c r="AB33" s="22">
        <f t="shared" si="3"/>
        <v>0</v>
      </c>
      <c r="AD33" s="30">
        <f t="shared" si="4"/>
        <v>0</v>
      </c>
      <c r="AE33" s="31">
        <f t="shared" si="27"/>
        <v>0</v>
      </c>
      <c r="AF33" s="31"/>
      <c r="AG33" s="5"/>
      <c r="AH33" s="5"/>
      <c r="AI33" s="5"/>
      <c r="AJ33" s="34"/>
      <c r="AK33" s="34"/>
      <c r="AL33" s="34"/>
      <c r="AM33" s="34"/>
      <c r="AQ33" s="30">
        <f t="shared" si="6"/>
        <v>0</v>
      </c>
      <c r="AR33" s="31">
        <f t="shared" si="7"/>
        <v>0</v>
      </c>
      <c r="AT33" s="399"/>
      <c r="AU33" s="399"/>
      <c r="AV33" s="5"/>
      <c r="AW33" s="42"/>
      <c r="AX33" s="37"/>
      <c r="AY33" s="5"/>
      <c r="AZ33" s="399"/>
      <c r="BA33" s="399"/>
      <c r="BB33" s="5" t="s">
        <v>31</v>
      </c>
      <c r="BC33" s="42">
        <v>1</v>
      </c>
      <c r="BD33" s="37">
        <v>0</v>
      </c>
      <c r="BE33" s="5" t="s">
        <v>68</v>
      </c>
      <c r="BG33" s="30">
        <f t="shared" si="8"/>
        <v>0</v>
      </c>
      <c r="BH33" s="63">
        <f t="shared" si="14"/>
        <v>0</v>
      </c>
      <c r="BI33" s="31"/>
      <c r="BJ33" s="5"/>
      <c r="BK33" s="5"/>
      <c r="BL33" s="5"/>
      <c r="BM33" s="34"/>
      <c r="BN33" s="34"/>
      <c r="BO33" s="34"/>
      <c r="BP33" s="34"/>
      <c r="BQ33" s="5"/>
      <c r="BR33" s="17"/>
      <c r="BS33" s="17"/>
      <c r="BT33" s="30">
        <f t="shared" si="9"/>
        <v>0</v>
      </c>
      <c r="BU33" s="63">
        <f t="shared" si="10"/>
        <v>0</v>
      </c>
      <c r="BW33" s="399"/>
      <c r="BX33" s="399"/>
      <c r="BY33" s="5" t="s">
        <v>31</v>
      </c>
      <c r="BZ33" s="42">
        <v>1</v>
      </c>
      <c r="CA33" s="37">
        <v>0</v>
      </c>
      <c r="CB33" s="5" t="s">
        <v>68</v>
      </c>
      <c r="CC33" s="399"/>
      <c r="CD33" s="399"/>
      <c r="CE33" s="5" t="s">
        <v>31</v>
      </c>
      <c r="CF33" s="42">
        <v>1</v>
      </c>
      <c r="CG33" s="37">
        <v>0</v>
      </c>
      <c r="CH33" s="5" t="s">
        <v>68</v>
      </c>
      <c r="CJ33" s="358"/>
    </row>
    <row r="34" spans="1:88" ht="20" customHeight="1">
      <c r="A34" s="236">
        <f>A32*0.5+A36*0.5</f>
        <v>0</v>
      </c>
      <c r="B34" s="356">
        <f>ABS($M$9-A34)</f>
        <v>0</v>
      </c>
      <c r="C34" s="357"/>
      <c r="D34" s="96"/>
      <c r="E34" s="234"/>
      <c r="F34" s="402"/>
      <c r="G34" s="402"/>
      <c r="H34" s="83" t="s">
        <v>98</v>
      </c>
      <c r="I34" s="227">
        <f>IF(B34&lt;=$C$32,$M$9,A34)</f>
        <v>0</v>
      </c>
      <c r="J34" s="104">
        <f t="shared" si="21"/>
        <v>0</v>
      </c>
      <c r="K34" s="323">
        <f>('Inputs - Metric'!K34)*0.907</f>
        <v>0</v>
      </c>
      <c r="L34" s="324">
        <f>'Inputs - Metric'!L34</f>
        <v>0</v>
      </c>
      <c r="M34" s="355">
        <f>'Inputs - Metric'!M34</f>
        <v>0</v>
      </c>
      <c r="N34" s="239"/>
      <c r="O34" s="229"/>
      <c r="P34" s="229"/>
      <c r="R34" s="17"/>
      <c r="S34" s="17"/>
      <c r="U34" s="20">
        <v>6</v>
      </c>
      <c r="V34" s="20">
        <v>29</v>
      </c>
      <c r="W34" s="20">
        <v>4</v>
      </c>
      <c r="X34" s="20">
        <f t="shared" si="25"/>
        <v>0</v>
      </c>
      <c r="Y34" s="22">
        <f t="shared" si="26"/>
        <v>0</v>
      </c>
      <c r="Z34" s="27">
        <f t="array" ref="Z34:AA34">LINEST(Y34:Y35,X34:X35^{1})</f>
        <v>0</v>
      </c>
      <c r="AA34" s="88">
        <v>0</v>
      </c>
      <c r="AB34" s="22">
        <f t="shared" si="3"/>
        <v>0</v>
      </c>
      <c r="AD34" s="30">
        <f t="shared" si="4"/>
        <v>0</v>
      </c>
      <c r="AE34" s="31">
        <f t="shared" si="27"/>
        <v>0</v>
      </c>
      <c r="AF34" s="31"/>
      <c r="AG34" s="5"/>
      <c r="AH34" s="5"/>
      <c r="AI34" s="5"/>
      <c r="AJ34" s="34"/>
      <c r="AK34" s="34"/>
      <c r="AL34" s="34"/>
      <c r="AM34" s="34"/>
      <c r="AQ34" s="30">
        <f t="shared" si="6"/>
        <v>0</v>
      </c>
      <c r="AR34" s="31">
        <f t="shared" si="7"/>
        <v>0</v>
      </c>
      <c r="AT34" s="399"/>
      <c r="AU34" s="399"/>
      <c r="AV34" s="5"/>
      <c r="AW34" s="42"/>
      <c r="AX34" s="37"/>
      <c r="AY34" s="5"/>
      <c r="AZ34" s="399"/>
      <c r="BA34" s="399"/>
      <c r="BB34" s="5" t="s">
        <v>69</v>
      </c>
      <c r="BC34" s="42" t="e">
        <v>#NUM!</v>
      </c>
      <c r="BD34" s="37">
        <v>1</v>
      </c>
      <c r="BE34" s="5" t="s">
        <v>70</v>
      </c>
      <c r="BG34" s="30">
        <f t="shared" si="8"/>
        <v>0</v>
      </c>
      <c r="BH34" s="63">
        <f t="shared" si="14"/>
        <v>0</v>
      </c>
      <c r="BI34" s="31"/>
      <c r="BJ34" s="5"/>
      <c r="BK34" s="5"/>
      <c r="BL34" s="5"/>
      <c r="BM34" s="34"/>
      <c r="BN34" s="34"/>
      <c r="BO34" s="34"/>
      <c r="BP34" s="34"/>
      <c r="BQ34" s="5"/>
      <c r="BR34" s="17"/>
      <c r="BS34" s="17"/>
      <c r="BT34" s="30">
        <f t="shared" si="9"/>
        <v>0</v>
      </c>
      <c r="BU34" s="63">
        <f t="shared" si="10"/>
        <v>0</v>
      </c>
      <c r="BW34" s="399"/>
      <c r="BX34" s="399"/>
      <c r="BY34" s="5" t="s">
        <v>69</v>
      </c>
      <c r="BZ34" s="42" t="e">
        <v>#NUM!</v>
      </c>
      <c r="CA34" s="37">
        <v>1</v>
      </c>
      <c r="CB34" s="5" t="s">
        <v>70</v>
      </c>
      <c r="CC34" s="399"/>
      <c r="CD34" s="399"/>
      <c r="CE34" s="5" t="s">
        <v>69</v>
      </c>
      <c r="CF34" s="42" t="e">
        <v>#NUM!</v>
      </c>
      <c r="CG34" s="37">
        <v>1</v>
      </c>
      <c r="CH34" s="5" t="s">
        <v>70</v>
      </c>
      <c r="CJ34" s="358"/>
    </row>
    <row r="35" spans="1:88" ht="20" customHeight="1">
      <c r="A35" s="236">
        <f>A32*0.26+A36*0.74</f>
        <v>0</v>
      </c>
      <c r="B35" s="356">
        <f>ABS($M$9-A35)</f>
        <v>0</v>
      </c>
      <c r="C35" s="357"/>
      <c r="D35" s="96"/>
      <c r="E35" s="234"/>
      <c r="F35" s="402"/>
      <c r="G35" s="402"/>
      <c r="H35" s="83" t="s">
        <v>98</v>
      </c>
      <c r="I35" s="227">
        <f>IF(M9=O9,A35,N35)</f>
        <v>0</v>
      </c>
      <c r="J35" s="104">
        <f t="shared" si="21"/>
        <v>0</v>
      </c>
      <c r="K35" s="323">
        <f>('Inputs - Metric'!K35)*0.907</f>
        <v>0</v>
      </c>
      <c r="L35" s="324">
        <f>'Inputs - Metric'!L35</f>
        <v>0</v>
      </c>
      <c r="M35" s="355">
        <f>'Inputs - Metric'!M35</f>
        <v>0</v>
      </c>
      <c r="N35" s="239">
        <f>IF(B35=B36,$M$9, IF(B36=$C$32,$M$9, IF(B35&lt;=$C$32,$M$9,A35)))</f>
        <v>0</v>
      </c>
      <c r="O35" s="229"/>
      <c r="P35" s="229"/>
      <c r="U35" s="20">
        <v>6</v>
      </c>
      <c r="V35" s="20">
        <v>30</v>
      </c>
      <c r="W35" s="20">
        <v>5</v>
      </c>
      <c r="X35" s="20">
        <f t="shared" si="25"/>
        <v>0</v>
      </c>
      <c r="Y35" s="22">
        <f t="shared" si="26"/>
        <v>0</v>
      </c>
      <c r="Z35" s="27">
        <f t="array" ref="Z35:AA35">LINEST(Y34:Y35,X34:X35^{1})</f>
        <v>0</v>
      </c>
      <c r="AA35" s="88">
        <v>0</v>
      </c>
      <c r="AB35" s="22">
        <f t="shared" si="3"/>
        <v>0</v>
      </c>
      <c r="AD35" s="32">
        <f t="shared" si="4"/>
        <v>0</v>
      </c>
      <c r="AE35" s="33">
        <f t="shared" si="27"/>
        <v>0</v>
      </c>
      <c r="AF35" s="31"/>
      <c r="AG35" s="5"/>
      <c r="AH35" s="5"/>
      <c r="AI35" s="5"/>
      <c r="AJ35" s="34"/>
      <c r="AK35" s="34"/>
      <c r="AL35" s="34"/>
      <c r="AM35" s="34"/>
      <c r="AQ35" s="32">
        <f t="shared" si="6"/>
        <v>0</v>
      </c>
      <c r="AR35" s="33">
        <f>AE35</f>
        <v>0</v>
      </c>
      <c r="AT35" s="401"/>
      <c r="AU35" s="401"/>
      <c r="AV35" s="5"/>
      <c r="AW35" s="42"/>
      <c r="AX35" s="37"/>
      <c r="AY35" s="5"/>
      <c r="AZ35" s="401"/>
      <c r="BA35" s="401"/>
      <c r="BB35" s="5" t="s">
        <v>71</v>
      </c>
      <c r="BC35" s="43">
        <v>0</v>
      </c>
      <c r="BD35" s="37">
        <v>0</v>
      </c>
      <c r="BE35" s="5" t="s">
        <v>72</v>
      </c>
      <c r="BG35" s="30">
        <f t="shared" si="8"/>
        <v>0</v>
      </c>
      <c r="BH35" s="64">
        <f t="shared" si="14"/>
        <v>0</v>
      </c>
      <c r="BI35" s="31"/>
      <c r="BJ35" s="5"/>
      <c r="BK35" s="5"/>
      <c r="BL35" s="5"/>
      <c r="BM35" s="34"/>
      <c r="BN35" s="34"/>
      <c r="BO35" s="34"/>
      <c r="BP35" s="34"/>
      <c r="BQ35" s="5"/>
      <c r="BR35" s="17"/>
      <c r="BS35" s="17"/>
      <c r="BT35" s="32">
        <f t="shared" si="9"/>
        <v>0</v>
      </c>
      <c r="BU35" s="64">
        <f t="shared" si="10"/>
        <v>0</v>
      </c>
      <c r="BW35" s="401"/>
      <c r="BX35" s="401"/>
      <c r="BY35" s="5" t="s">
        <v>71</v>
      </c>
      <c r="BZ35" s="42">
        <v>0</v>
      </c>
      <c r="CA35" s="37">
        <v>0</v>
      </c>
      <c r="CB35" s="5" t="s">
        <v>72</v>
      </c>
      <c r="CC35" s="401"/>
      <c r="CD35" s="401"/>
      <c r="CE35" s="5" t="s">
        <v>71</v>
      </c>
      <c r="CF35" s="43">
        <v>0</v>
      </c>
      <c r="CG35" s="37">
        <v>0</v>
      </c>
      <c r="CH35" s="5" t="s">
        <v>72</v>
      </c>
      <c r="CJ35" s="358"/>
    </row>
    <row r="36" spans="1:88" ht="20" customHeight="1">
      <c r="A36" s="236">
        <f>O9</f>
        <v>0</v>
      </c>
      <c r="B36" s="356">
        <f>ABS($M$9-A36)</f>
        <v>0</v>
      </c>
      <c r="C36" s="357"/>
      <c r="D36" s="96"/>
      <c r="E36" s="234"/>
      <c r="F36" s="402"/>
      <c r="G36" s="402"/>
      <c r="H36" s="84" t="s">
        <v>43</v>
      </c>
      <c r="I36" s="104">
        <f>O9</f>
        <v>0</v>
      </c>
      <c r="J36" s="104">
        <f t="shared" si="21"/>
        <v>0</v>
      </c>
      <c r="K36" s="323">
        <f>('Inputs - Metric'!K36)*0.907</f>
        <v>0</v>
      </c>
      <c r="L36" s="324">
        <f>'Inputs - Metric'!L36</f>
        <v>0</v>
      </c>
      <c r="M36" s="355">
        <f>'Inputs - Metric'!M36</f>
        <v>0</v>
      </c>
      <c r="N36" s="240"/>
      <c r="O36" s="229"/>
      <c r="P36" s="229"/>
      <c r="V36" s="20"/>
      <c r="W36" s="20"/>
      <c r="X36" s="20"/>
      <c r="AG36" s="5"/>
      <c r="AH36" s="5"/>
      <c r="AI36" s="5"/>
      <c r="AJ36" s="34"/>
      <c r="AK36" s="34"/>
      <c r="AL36" s="34"/>
      <c r="AM36" s="34"/>
      <c r="AT36" s="398">
        <v>3</v>
      </c>
      <c r="AU36" s="398" t="s">
        <v>29</v>
      </c>
      <c r="AV36" s="35" t="s">
        <v>57</v>
      </c>
      <c r="AW36" s="36">
        <f t="array" ref="AW36:AX40">LINEST(AR16:AR20,AQ16:AQ20^{1},TRUE,TRUE)</f>
        <v>0</v>
      </c>
      <c r="AX36" s="35">
        <v>0</v>
      </c>
      <c r="AY36" s="35" t="s">
        <v>65</v>
      </c>
      <c r="AZ36" s="398">
        <v>6</v>
      </c>
      <c r="BA36" s="398" t="s">
        <v>29</v>
      </c>
      <c r="BB36" s="35" t="s">
        <v>57</v>
      </c>
      <c r="BC36" s="36">
        <f t="array" ref="BC36:BD40">LINEST(AR25:AR31,AQ25:AQ31^{1},TRUE,TRUE)</f>
        <v>0</v>
      </c>
      <c r="BD36" s="35">
        <v>0</v>
      </c>
      <c r="BE36" s="35" t="s">
        <v>65</v>
      </c>
      <c r="BJ36" s="5"/>
      <c r="BK36" s="5"/>
      <c r="BL36" s="5"/>
      <c r="BM36" s="34"/>
      <c r="BN36" s="34"/>
      <c r="BO36" s="34"/>
      <c r="BP36" s="34"/>
      <c r="BQ36" s="5"/>
      <c r="BR36" s="17"/>
      <c r="BS36" s="17"/>
      <c r="BT36" s="17"/>
      <c r="BW36" s="398">
        <v>3</v>
      </c>
      <c r="BX36" s="398" t="s">
        <v>29</v>
      </c>
      <c r="BY36" s="35" t="s">
        <v>57</v>
      </c>
      <c r="BZ36" s="36">
        <f t="array" ref="BZ36:CA40">LINEST(BU16:BU20,BT16:BT20^{1},TRUE,TRUE)</f>
        <v>0</v>
      </c>
      <c r="CA36" s="35">
        <v>0</v>
      </c>
      <c r="CB36" s="35" t="s">
        <v>65</v>
      </c>
      <c r="CC36" s="398">
        <v>6</v>
      </c>
      <c r="CD36" s="398" t="s">
        <v>29</v>
      </c>
      <c r="CE36" s="35" t="s">
        <v>57</v>
      </c>
      <c r="CF36" s="36">
        <f t="array" ref="CF36:CG40">LINEST(BU25:BU31,BT25:BT31^{1},TRUE,TRUE)</f>
        <v>0</v>
      </c>
      <c r="CG36" s="35">
        <v>0</v>
      </c>
      <c r="CH36" s="35" t="s">
        <v>65</v>
      </c>
      <c r="CJ36" s="358"/>
    </row>
    <row r="37" spans="1:88" ht="20" customHeight="1">
      <c r="A37" s="236">
        <f>N10</f>
        <v>0</v>
      </c>
      <c r="B37" s="356">
        <f>ABS($M$10-A37)</f>
        <v>0</v>
      </c>
      <c r="C37" s="279">
        <f>MIN(B37:B41)</f>
        <v>0</v>
      </c>
      <c r="D37" s="96"/>
      <c r="E37" s="234"/>
      <c r="F37" s="402">
        <v>4</v>
      </c>
      <c r="G37" s="402"/>
      <c r="H37" s="84" t="s">
        <v>42</v>
      </c>
      <c r="I37" s="104">
        <f>N10</f>
        <v>0</v>
      </c>
      <c r="J37" s="104">
        <f t="shared" si="21"/>
        <v>0</v>
      </c>
      <c r="K37" s="323">
        <f>('Inputs - Metric'!K37)*0.907</f>
        <v>0</v>
      </c>
      <c r="L37" s="324">
        <f>'Inputs - Metric'!L37</f>
        <v>0</v>
      </c>
      <c r="M37" s="355">
        <f>'Inputs - Metric'!M37</f>
        <v>0</v>
      </c>
      <c r="N37" s="240"/>
      <c r="O37" s="229"/>
      <c r="P37" s="229"/>
      <c r="V37" s="20"/>
      <c r="W37" s="20"/>
      <c r="X37" s="20"/>
      <c r="AG37" s="5"/>
      <c r="AH37" s="5"/>
      <c r="AI37" s="5"/>
      <c r="AJ37" s="34"/>
      <c r="AK37" s="34"/>
      <c r="AL37" s="34"/>
      <c r="AM37" s="34"/>
      <c r="AT37" s="401"/>
      <c r="AU37" s="401"/>
      <c r="AV37" s="37" t="s">
        <v>66</v>
      </c>
      <c r="AW37" s="42">
        <v>0</v>
      </c>
      <c r="AX37" s="37">
        <v>0</v>
      </c>
      <c r="AY37" s="37" t="s">
        <v>67</v>
      </c>
      <c r="AZ37" s="401"/>
      <c r="BA37" s="401"/>
      <c r="BB37" s="37" t="s">
        <v>66</v>
      </c>
      <c r="BC37" s="42">
        <v>0</v>
      </c>
      <c r="BD37" s="37">
        <v>0</v>
      </c>
      <c r="BE37" s="37" t="s">
        <v>67</v>
      </c>
      <c r="BJ37" s="5"/>
      <c r="BK37" s="5"/>
      <c r="BL37" s="5"/>
      <c r="BM37" s="34"/>
      <c r="BN37" s="34"/>
      <c r="BO37" s="34"/>
      <c r="BP37" s="34"/>
      <c r="BQ37" s="5"/>
      <c r="BR37" s="17"/>
      <c r="BS37" s="17"/>
      <c r="BT37" s="17"/>
      <c r="BW37" s="401"/>
      <c r="BX37" s="401"/>
      <c r="BY37" s="37" t="s">
        <v>66</v>
      </c>
      <c r="BZ37" s="42">
        <v>0</v>
      </c>
      <c r="CA37" s="37">
        <v>0</v>
      </c>
      <c r="CB37" s="37" t="s">
        <v>67</v>
      </c>
      <c r="CC37" s="401"/>
      <c r="CD37" s="401"/>
      <c r="CE37" s="37" t="s">
        <v>66</v>
      </c>
      <c r="CF37" s="42">
        <v>0</v>
      </c>
      <c r="CG37" s="37">
        <v>0</v>
      </c>
      <c r="CH37" s="37" t="s">
        <v>67</v>
      </c>
      <c r="CJ37" s="358"/>
    </row>
    <row r="38" spans="1:88" ht="20" customHeight="1">
      <c r="A38" s="236">
        <f>A37*0.76+A41*0.24</f>
        <v>0</v>
      </c>
      <c r="B38" s="356">
        <f>ABS($M$10-A38)</f>
        <v>0</v>
      </c>
      <c r="C38" s="357"/>
      <c r="D38" s="96"/>
      <c r="E38" s="234"/>
      <c r="F38" s="402"/>
      <c r="G38" s="402"/>
      <c r="H38" s="83" t="s">
        <v>98</v>
      </c>
      <c r="I38" s="227">
        <f>IF(M10=N10,A38,N38)</f>
        <v>0</v>
      </c>
      <c r="J38" s="104">
        <f t="shared" si="21"/>
        <v>0</v>
      </c>
      <c r="K38" s="323">
        <f>('Inputs - Metric'!K38)*0.907</f>
        <v>0</v>
      </c>
      <c r="L38" s="324">
        <f>'Inputs - Metric'!L38</f>
        <v>0</v>
      </c>
      <c r="M38" s="355">
        <f>'Inputs - Metric'!M38</f>
        <v>0</v>
      </c>
      <c r="N38" s="239">
        <f>IF(B37=B38,$M$10,IF(B37=$C$37,$M$10, IF(B38&lt;=$C$37,$M$10,A38)))</f>
        <v>0</v>
      </c>
      <c r="O38" s="229"/>
      <c r="P38" s="229"/>
      <c r="V38" s="20"/>
      <c r="W38" s="20"/>
      <c r="X38" s="20"/>
      <c r="AG38" s="5"/>
      <c r="AH38" s="5"/>
      <c r="AI38" s="5"/>
      <c r="AJ38" s="34"/>
      <c r="AK38" s="34"/>
      <c r="AL38" s="34"/>
      <c r="AM38" s="34"/>
      <c r="AT38" s="401"/>
      <c r="AU38" s="401"/>
      <c r="AV38" s="37" t="s">
        <v>31</v>
      </c>
      <c r="AW38" s="42">
        <v>1</v>
      </c>
      <c r="AX38" s="37">
        <v>0</v>
      </c>
      <c r="AY38" s="37" t="s">
        <v>68</v>
      </c>
      <c r="AZ38" s="401"/>
      <c r="BA38" s="401"/>
      <c r="BB38" s="37" t="s">
        <v>31</v>
      </c>
      <c r="BC38" s="42">
        <v>1</v>
      </c>
      <c r="BD38" s="37">
        <v>0</v>
      </c>
      <c r="BE38" s="37" t="s">
        <v>68</v>
      </c>
      <c r="BJ38" s="5"/>
      <c r="BK38" s="5"/>
      <c r="BL38" s="5"/>
      <c r="BM38" s="34"/>
      <c r="BN38" s="34"/>
      <c r="BO38" s="34"/>
      <c r="BP38" s="34"/>
      <c r="BQ38" s="5"/>
      <c r="BR38" s="17"/>
      <c r="BS38" s="17"/>
      <c r="BT38" s="17"/>
      <c r="BW38" s="401"/>
      <c r="BX38" s="401"/>
      <c r="BY38" s="37" t="s">
        <v>31</v>
      </c>
      <c r="BZ38" s="42">
        <v>1</v>
      </c>
      <c r="CA38" s="37">
        <v>0</v>
      </c>
      <c r="CB38" s="37" t="s">
        <v>68</v>
      </c>
      <c r="CC38" s="401"/>
      <c r="CD38" s="401"/>
      <c r="CE38" s="37" t="s">
        <v>31</v>
      </c>
      <c r="CF38" s="42">
        <v>1</v>
      </c>
      <c r="CG38" s="37">
        <v>0</v>
      </c>
      <c r="CH38" s="37" t="s">
        <v>68</v>
      </c>
      <c r="CJ38" s="358"/>
    </row>
    <row r="39" spans="1:88" ht="20" customHeight="1">
      <c r="A39" s="236">
        <f>A37*0.5+A41*0.5</f>
        <v>0</v>
      </c>
      <c r="B39" s="356">
        <f>ABS($M$10-A39)</f>
        <v>0</v>
      </c>
      <c r="C39" s="357"/>
      <c r="D39" s="96"/>
      <c r="E39" s="234"/>
      <c r="F39" s="402"/>
      <c r="G39" s="402"/>
      <c r="H39" s="83" t="s">
        <v>98</v>
      </c>
      <c r="I39" s="227">
        <f>IF(B39&lt;=$C$37,$M$10,A39)</f>
        <v>0</v>
      </c>
      <c r="J39" s="104">
        <f t="shared" si="21"/>
        <v>0</v>
      </c>
      <c r="K39" s="323">
        <f>('Inputs - Metric'!K39)*0.907</f>
        <v>0</v>
      </c>
      <c r="L39" s="324">
        <f>'Inputs - Metric'!L39</f>
        <v>0</v>
      </c>
      <c r="M39" s="355">
        <f>'Inputs - Metric'!M39</f>
        <v>0</v>
      </c>
      <c r="N39" s="239"/>
      <c r="O39" s="229"/>
      <c r="P39" s="229"/>
      <c r="V39" s="20"/>
      <c r="W39" s="20"/>
      <c r="X39" s="20"/>
      <c r="AG39" s="5"/>
      <c r="AH39" s="5"/>
      <c r="AI39" s="5"/>
      <c r="AJ39" s="34"/>
      <c r="AK39" s="34"/>
      <c r="AL39" s="34"/>
      <c r="AM39" s="34"/>
      <c r="AT39" s="401"/>
      <c r="AU39" s="401"/>
      <c r="AV39" s="37" t="s">
        <v>69</v>
      </c>
      <c r="AW39" s="42" t="e">
        <v>#NUM!</v>
      </c>
      <c r="AX39" s="37">
        <v>3</v>
      </c>
      <c r="AY39" s="37" t="s">
        <v>70</v>
      </c>
      <c r="AZ39" s="401"/>
      <c r="BA39" s="401"/>
      <c r="BB39" s="37" t="s">
        <v>69</v>
      </c>
      <c r="BC39" s="42" t="e">
        <v>#NUM!</v>
      </c>
      <c r="BD39" s="37">
        <v>5</v>
      </c>
      <c r="BE39" s="37" t="s">
        <v>70</v>
      </c>
      <c r="BJ39" s="5"/>
      <c r="BK39" s="5"/>
      <c r="BL39" s="5"/>
      <c r="BM39" s="34"/>
      <c r="BN39" s="34"/>
      <c r="BO39" s="34"/>
      <c r="BP39" s="34"/>
      <c r="BQ39" s="5"/>
      <c r="BR39" s="17"/>
      <c r="BS39" s="17"/>
      <c r="BT39" s="17"/>
      <c r="BW39" s="401"/>
      <c r="BX39" s="401"/>
      <c r="BY39" s="37" t="s">
        <v>69</v>
      </c>
      <c r="BZ39" s="42" t="e">
        <v>#NUM!</v>
      </c>
      <c r="CA39" s="37">
        <v>3</v>
      </c>
      <c r="CB39" s="37" t="s">
        <v>70</v>
      </c>
      <c r="CC39" s="401"/>
      <c r="CD39" s="401"/>
      <c r="CE39" s="37" t="s">
        <v>69</v>
      </c>
      <c r="CF39" s="42" t="e">
        <v>#NUM!</v>
      </c>
      <c r="CG39" s="37">
        <v>5</v>
      </c>
      <c r="CH39" s="37" t="s">
        <v>70</v>
      </c>
      <c r="CJ39" s="358"/>
    </row>
    <row r="40" spans="1:88" ht="20" customHeight="1">
      <c r="A40" s="236">
        <f>A37*0.26+A41*0.74</f>
        <v>0</v>
      </c>
      <c r="B40" s="356">
        <f>ABS($M$10-A40)</f>
        <v>0</v>
      </c>
      <c r="C40" s="357"/>
      <c r="D40" s="96"/>
      <c r="E40" s="234"/>
      <c r="F40" s="402"/>
      <c r="G40" s="402"/>
      <c r="H40" s="83" t="s">
        <v>98</v>
      </c>
      <c r="I40" s="227">
        <f>IF(M10=O10,A40,N40)</f>
        <v>0</v>
      </c>
      <c r="J40" s="104">
        <f t="shared" si="21"/>
        <v>0</v>
      </c>
      <c r="K40" s="323">
        <f>('Inputs - Metric'!K40)*0.907</f>
        <v>0</v>
      </c>
      <c r="L40" s="324">
        <f>'Inputs - Metric'!L40</f>
        <v>0</v>
      </c>
      <c r="M40" s="355">
        <f>'Inputs - Metric'!M40</f>
        <v>0</v>
      </c>
      <c r="N40" s="239">
        <f>IF(B40=B41,$M$10, IF(B41=$C$37,$M$10, IF(B40&lt;=$C$37,$M$10,A40)))</f>
        <v>0</v>
      </c>
      <c r="O40" s="229"/>
      <c r="P40" s="229"/>
      <c r="V40" s="20"/>
      <c r="W40" s="20"/>
      <c r="X40" s="20"/>
      <c r="AG40" s="5"/>
      <c r="AH40" s="5"/>
      <c r="AI40" s="5"/>
      <c r="AJ40" s="34"/>
      <c r="AK40" s="34"/>
      <c r="AL40" s="34"/>
      <c r="AM40" s="34"/>
      <c r="AT40" s="400"/>
      <c r="AU40" s="400"/>
      <c r="AV40" s="39" t="s">
        <v>71</v>
      </c>
      <c r="AW40" s="43">
        <v>0</v>
      </c>
      <c r="AX40" s="39">
        <v>0</v>
      </c>
      <c r="AY40" s="39" t="s">
        <v>72</v>
      </c>
      <c r="AZ40" s="400"/>
      <c r="BA40" s="400"/>
      <c r="BB40" s="39" t="s">
        <v>71</v>
      </c>
      <c r="BC40" s="43">
        <v>0</v>
      </c>
      <c r="BD40" s="39">
        <v>0</v>
      </c>
      <c r="BE40" s="39" t="s">
        <v>72</v>
      </c>
      <c r="BJ40" s="5"/>
      <c r="BK40" s="5"/>
      <c r="BL40" s="5"/>
      <c r="BM40" s="34"/>
      <c r="BN40" s="34"/>
      <c r="BO40" s="34"/>
      <c r="BP40" s="34"/>
      <c r="BQ40" s="5"/>
      <c r="BR40" s="17"/>
      <c r="BS40" s="17"/>
      <c r="BT40" s="17"/>
      <c r="BW40" s="400"/>
      <c r="BX40" s="400"/>
      <c r="BY40" s="39" t="s">
        <v>71</v>
      </c>
      <c r="BZ40" s="43">
        <v>0</v>
      </c>
      <c r="CA40" s="39">
        <v>0</v>
      </c>
      <c r="CB40" s="39" t="s">
        <v>72</v>
      </c>
      <c r="CC40" s="400"/>
      <c r="CD40" s="400"/>
      <c r="CE40" s="39" t="s">
        <v>71</v>
      </c>
      <c r="CF40" s="43">
        <v>0</v>
      </c>
      <c r="CG40" s="39">
        <v>0</v>
      </c>
      <c r="CH40" s="39" t="s">
        <v>72</v>
      </c>
      <c r="CJ40" s="358"/>
    </row>
    <row r="41" spans="1:88" ht="20" customHeight="1">
      <c r="A41" s="236">
        <f>O10</f>
        <v>0</v>
      </c>
      <c r="B41" s="356">
        <f>ABS($M$10-A41)</f>
        <v>0</v>
      </c>
      <c r="C41" s="357"/>
      <c r="D41" s="96"/>
      <c r="E41" s="234"/>
      <c r="F41" s="402"/>
      <c r="G41" s="402"/>
      <c r="H41" s="84" t="s">
        <v>43</v>
      </c>
      <c r="I41" s="104">
        <f>O10</f>
        <v>0</v>
      </c>
      <c r="J41" s="104">
        <f t="shared" si="21"/>
        <v>0</v>
      </c>
      <c r="K41" s="323">
        <f>('Inputs - Metric'!K41)*0.907</f>
        <v>0</v>
      </c>
      <c r="L41" s="324">
        <f>'Inputs - Metric'!L41</f>
        <v>0</v>
      </c>
      <c r="M41" s="355">
        <f>'Inputs - Metric'!M41</f>
        <v>0</v>
      </c>
      <c r="N41" s="240"/>
      <c r="O41" s="229"/>
      <c r="P41" s="229"/>
      <c r="V41" s="20"/>
      <c r="W41" s="20"/>
      <c r="X41" s="20"/>
      <c r="AG41" s="5"/>
      <c r="AH41" s="5"/>
      <c r="AI41" s="5"/>
      <c r="AJ41" s="34"/>
      <c r="AK41" s="34"/>
      <c r="AL41" s="34"/>
      <c r="AM41" s="34"/>
      <c r="AT41" s="398">
        <v>3</v>
      </c>
      <c r="AU41" s="398" t="s">
        <v>33</v>
      </c>
      <c r="AV41" s="5" t="s">
        <v>57</v>
      </c>
      <c r="AW41" s="38">
        <f t="array" ref="AW41:AX45">LINEST(AR16:AR20,AQ16:AQ20^{1,2},TRUE,TRUE)</f>
        <v>0</v>
      </c>
      <c r="AX41" s="37">
        <v>0</v>
      </c>
      <c r="AY41" s="5" t="s">
        <v>65</v>
      </c>
      <c r="AZ41" s="398">
        <v>6</v>
      </c>
      <c r="BA41" s="398" t="s">
        <v>33</v>
      </c>
      <c r="BB41" s="5" t="s">
        <v>57</v>
      </c>
      <c r="BC41" s="36">
        <f t="array" ref="BC41:BD45">LINEST(AR25:AR31,AQ25:AQ31^{1,2},TRUE,TRUE)</f>
        <v>0</v>
      </c>
      <c r="BD41" s="37">
        <v>0</v>
      </c>
      <c r="BE41" s="5" t="s">
        <v>65</v>
      </c>
      <c r="BJ41" s="5"/>
      <c r="BK41" s="5"/>
      <c r="BL41" s="5"/>
      <c r="BM41" s="34"/>
      <c r="BN41" s="34"/>
      <c r="BO41" s="34"/>
      <c r="BP41" s="34"/>
      <c r="BQ41" s="5"/>
      <c r="BR41" s="17"/>
      <c r="BS41" s="17"/>
      <c r="BT41" s="17"/>
      <c r="BW41" s="398">
        <v>3</v>
      </c>
      <c r="BX41" s="398" t="s">
        <v>33</v>
      </c>
      <c r="BY41" s="5" t="s">
        <v>57</v>
      </c>
      <c r="BZ41" s="38">
        <f t="array" ref="BZ41:CA45">LINEST(BU16:BU20,BT16:BT20^{1,2},TRUE,TRUE)</f>
        <v>0</v>
      </c>
      <c r="CA41" s="37">
        <v>0</v>
      </c>
      <c r="CB41" s="5" t="s">
        <v>65</v>
      </c>
      <c r="CC41" s="398">
        <v>6</v>
      </c>
      <c r="CD41" s="398" t="s">
        <v>33</v>
      </c>
      <c r="CE41" s="5" t="s">
        <v>57</v>
      </c>
      <c r="CF41" s="36">
        <f t="array" ref="CF41:CG45">LINEST(BU25:BU31,BT25:BT31^{1,2},TRUE,TRUE)</f>
        <v>0</v>
      </c>
      <c r="CG41" s="37">
        <v>0</v>
      </c>
      <c r="CH41" s="5" t="s">
        <v>65</v>
      </c>
      <c r="CJ41" s="358"/>
    </row>
    <row r="42" spans="1:88" ht="20" customHeight="1">
      <c r="A42" s="236">
        <f>N11</f>
        <v>0</v>
      </c>
      <c r="B42" s="356">
        <f>ABS($M$11-A42)</f>
        <v>0</v>
      </c>
      <c r="C42" s="279">
        <f>MIN(B42:B46)</f>
        <v>0</v>
      </c>
      <c r="D42" s="96"/>
      <c r="E42" s="234"/>
      <c r="F42" s="397">
        <v>5</v>
      </c>
      <c r="G42" s="397"/>
      <c r="H42" s="101" t="s">
        <v>42</v>
      </c>
      <c r="I42" s="105">
        <f>N11</f>
        <v>0</v>
      </c>
      <c r="J42" s="104">
        <f t="shared" si="21"/>
        <v>0</v>
      </c>
      <c r="K42" s="323">
        <f>('Inputs - Metric'!K42)*0.907</f>
        <v>0</v>
      </c>
      <c r="L42" s="324">
        <f>'Inputs - Metric'!L42</f>
        <v>0</v>
      </c>
      <c r="M42" s="355">
        <f>'Inputs - Metric'!M42</f>
        <v>0</v>
      </c>
      <c r="N42" s="240"/>
      <c r="O42" s="229"/>
      <c r="P42" s="229"/>
      <c r="V42" s="20"/>
      <c r="W42" s="20"/>
      <c r="X42" s="20"/>
      <c r="AG42" s="5"/>
      <c r="AH42" s="5"/>
      <c r="AI42" s="5"/>
      <c r="AJ42" s="34"/>
      <c r="AK42" s="34"/>
      <c r="AL42" s="34"/>
      <c r="AM42" s="34"/>
      <c r="AT42" s="399"/>
      <c r="AU42" s="399"/>
      <c r="AV42" s="5" t="s">
        <v>66</v>
      </c>
      <c r="AW42" s="42">
        <v>0</v>
      </c>
      <c r="AX42" s="37">
        <v>0</v>
      </c>
      <c r="AY42" s="5" t="s">
        <v>67</v>
      </c>
      <c r="AZ42" s="399"/>
      <c r="BA42" s="399"/>
      <c r="BB42" s="5" t="s">
        <v>66</v>
      </c>
      <c r="BC42" s="42">
        <v>0</v>
      </c>
      <c r="BD42" s="37">
        <v>0</v>
      </c>
      <c r="BE42" s="5" t="s">
        <v>67</v>
      </c>
      <c r="BJ42" s="5"/>
      <c r="BK42" s="5"/>
      <c r="BL42" s="5"/>
      <c r="BM42" s="34"/>
      <c r="BN42" s="34"/>
      <c r="BO42" s="34"/>
      <c r="BP42" s="34"/>
      <c r="BQ42" s="5"/>
      <c r="BR42" s="17"/>
      <c r="BS42" s="17"/>
      <c r="BT42" s="17"/>
      <c r="BW42" s="399"/>
      <c r="BX42" s="399"/>
      <c r="BY42" s="5" t="s">
        <v>66</v>
      </c>
      <c r="BZ42" s="42">
        <v>0</v>
      </c>
      <c r="CA42" s="37">
        <v>0</v>
      </c>
      <c r="CB42" s="5" t="s">
        <v>67</v>
      </c>
      <c r="CC42" s="399"/>
      <c r="CD42" s="399"/>
      <c r="CE42" s="5" t="s">
        <v>66</v>
      </c>
      <c r="CF42" s="42">
        <v>0</v>
      </c>
      <c r="CG42" s="37">
        <v>0</v>
      </c>
      <c r="CH42" s="5" t="s">
        <v>67</v>
      </c>
      <c r="CJ42" s="358"/>
    </row>
    <row r="43" spans="1:88" ht="20" customHeight="1">
      <c r="A43" s="236">
        <f>A42*0.76+A46*0.24</f>
        <v>0</v>
      </c>
      <c r="B43" s="356">
        <f>ABS($M$11-A43)</f>
        <v>0</v>
      </c>
      <c r="C43" s="357"/>
      <c r="D43" s="96"/>
      <c r="E43" s="234"/>
      <c r="F43" s="397"/>
      <c r="G43" s="397"/>
      <c r="H43" s="102" t="s">
        <v>98</v>
      </c>
      <c r="I43" s="227">
        <f>IF(M11=N11,A43,N43)</f>
        <v>0</v>
      </c>
      <c r="J43" s="104">
        <f t="shared" si="21"/>
        <v>0</v>
      </c>
      <c r="K43" s="323">
        <f>('Inputs - Metric'!K43)*0.907</f>
        <v>0</v>
      </c>
      <c r="L43" s="324">
        <f>'Inputs - Metric'!L43</f>
        <v>0</v>
      </c>
      <c r="M43" s="355">
        <f>'Inputs - Metric'!M43</f>
        <v>0</v>
      </c>
      <c r="N43" s="239">
        <f>IF(B42=B43,$M$11,IF(B42=$C$42,$M$11, IF(B43&lt;=$C$42,$M$11,A43)))</f>
        <v>0</v>
      </c>
      <c r="O43" s="229"/>
      <c r="P43" s="229"/>
      <c r="V43" s="20"/>
      <c r="W43" s="20"/>
      <c r="X43" s="20"/>
      <c r="AG43" s="5"/>
      <c r="AH43" s="5"/>
      <c r="AI43" s="5"/>
      <c r="AJ43" s="34"/>
      <c r="AK43" s="34"/>
      <c r="AL43" s="34"/>
      <c r="AM43" s="34"/>
      <c r="AT43" s="399"/>
      <c r="AU43" s="399"/>
      <c r="AV43" s="5" t="s">
        <v>31</v>
      </c>
      <c r="AW43" s="42">
        <v>1</v>
      </c>
      <c r="AX43" s="37">
        <v>0</v>
      </c>
      <c r="AY43" s="5" t="s">
        <v>68</v>
      </c>
      <c r="AZ43" s="399"/>
      <c r="BA43" s="399"/>
      <c r="BB43" s="5" t="s">
        <v>31</v>
      </c>
      <c r="BC43" s="42">
        <v>1</v>
      </c>
      <c r="BD43" s="37">
        <v>0</v>
      </c>
      <c r="BE43" s="5" t="s">
        <v>68</v>
      </c>
      <c r="BJ43" s="5"/>
      <c r="BK43" s="5"/>
      <c r="BL43" s="5"/>
      <c r="BM43" s="34"/>
      <c r="BN43" s="34"/>
      <c r="BO43" s="34"/>
      <c r="BP43" s="34"/>
      <c r="BQ43" s="5"/>
      <c r="BR43" s="17"/>
      <c r="BS43" s="17"/>
      <c r="BT43" s="17"/>
      <c r="BW43" s="399"/>
      <c r="BX43" s="399"/>
      <c r="BY43" s="5" t="s">
        <v>31</v>
      </c>
      <c r="BZ43" s="42">
        <v>1</v>
      </c>
      <c r="CA43" s="37">
        <v>0</v>
      </c>
      <c r="CB43" s="5" t="s">
        <v>68</v>
      </c>
      <c r="CC43" s="399"/>
      <c r="CD43" s="399"/>
      <c r="CE43" s="5" t="s">
        <v>31</v>
      </c>
      <c r="CF43" s="42">
        <v>1</v>
      </c>
      <c r="CG43" s="37">
        <v>0</v>
      </c>
      <c r="CH43" s="5" t="s">
        <v>68</v>
      </c>
      <c r="CJ43" s="358"/>
    </row>
    <row r="44" spans="1:88" ht="20" customHeight="1">
      <c r="A44" s="236">
        <f>A42*0.5+A46*0.5</f>
        <v>0</v>
      </c>
      <c r="B44" s="356">
        <f>ABS($M$11-A44)</f>
        <v>0</v>
      </c>
      <c r="C44" s="357"/>
      <c r="D44" s="96"/>
      <c r="E44" s="234"/>
      <c r="F44" s="397"/>
      <c r="G44" s="397"/>
      <c r="H44" s="102" t="s">
        <v>98</v>
      </c>
      <c r="I44" s="227">
        <f>IF(B44&lt;=$C$42,$M$11,A44)</f>
        <v>0</v>
      </c>
      <c r="J44" s="104">
        <f t="shared" si="21"/>
        <v>0</v>
      </c>
      <c r="K44" s="323">
        <f>('Inputs - Metric'!K44)*0.907</f>
        <v>0</v>
      </c>
      <c r="L44" s="324">
        <f>'Inputs - Metric'!L44</f>
        <v>0</v>
      </c>
      <c r="M44" s="355">
        <f>'Inputs - Metric'!M44</f>
        <v>0</v>
      </c>
      <c r="N44" s="239"/>
      <c r="O44" s="229"/>
      <c r="P44" s="229"/>
      <c r="AG44" s="5"/>
      <c r="AH44" s="5"/>
      <c r="AI44" s="5"/>
      <c r="AJ44" s="34"/>
      <c r="AK44" s="34"/>
      <c r="AL44" s="34"/>
      <c r="AM44" s="34"/>
      <c r="AT44" s="399"/>
      <c r="AU44" s="399"/>
      <c r="AV44" s="5" t="s">
        <v>69</v>
      </c>
      <c r="AW44" s="42" t="e">
        <v>#NUM!</v>
      </c>
      <c r="AX44" s="37">
        <v>2</v>
      </c>
      <c r="AY44" s="5" t="s">
        <v>70</v>
      </c>
      <c r="AZ44" s="399"/>
      <c r="BA44" s="399"/>
      <c r="BB44" s="5" t="s">
        <v>69</v>
      </c>
      <c r="BC44" s="42" t="e">
        <v>#NUM!</v>
      </c>
      <c r="BD44" s="37">
        <v>4</v>
      </c>
      <c r="BE44" s="5" t="s">
        <v>70</v>
      </c>
      <c r="BJ44" s="5"/>
      <c r="BK44" s="5"/>
      <c r="BL44" s="5"/>
      <c r="BM44" s="34"/>
      <c r="BN44" s="34"/>
      <c r="BO44" s="34"/>
      <c r="BP44" s="34"/>
      <c r="BQ44" s="5"/>
      <c r="BR44" s="17"/>
      <c r="BS44" s="17"/>
      <c r="BT44" s="17"/>
      <c r="BW44" s="399"/>
      <c r="BX44" s="399"/>
      <c r="BY44" s="5" t="s">
        <v>69</v>
      </c>
      <c r="BZ44" s="42" t="e">
        <v>#NUM!</v>
      </c>
      <c r="CA44" s="37">
        <v>2</v>
      </c>
      <c r="CB44" s="5" t="s">
        <v>70</v>
      </c>
      <c r="CC44" s="399"/>
      <c r="CD44" s="399"/>
      <c r="CE44" s="5" t="s">
        <v>69</v>
      </c>
      <c r="CF44" s="42" t="e">
        <v>#NUM!</v>
      </c>
      <c r="CG44" s="37">
        <v>4</v>
      </c>
      <c r="CH44" s="5" t="s">
        <v>70</v>
      </c>
      <c r="CJ44" s="358"/>
    </row>
    <row r="45" spans="1:88" ht="20" customHeight="1">
      <c r="A45" s="236">
        <f>A42*0.26+A46*0.74</f>
        <v>0</v>
      </c>
      <c r="B45" s="356">
        <f>ABS($M$11-A45)</f>
        <v>0</v>
      </c>
      <c r="C45" s="357"/>
      <c r="D45" s="96"/>
      <c r="E45" s="234"/>
      <c r="F45" s="397"/>
      <c r="G45" s="397"/>
      <c r="H45" s="102" t="s">
        <v>98</v>
      </c>
      <c r="I45" s="227">
        <f>IF(M11=O11,A45,N45)</f>
        <v>0</v>
      </c>
      <c r="J45" s="104">
        <f t="shared" si="21"/>
        <v>0</v>
      </c>
      <c r="K45" s="323">
        <f>('Inputs - Metric'!K45)*0.907</f>
        <v>0</v>
      </c>
      <c r="L45" s="324">
        <f>'Inputs - Metric'!L45</f>
        <v>0</v>
      </c>
      <c r="M45" s="355">
        <f>'Inputs - Metric'!M45</f>
        <v>0</v>
      </c>
      <c r="N45" s="239">
        <f>IF(B45=B46,$M$11, IF(B46=$C$42,$M$11, IF(B45&lt;=$C$42,$M$11,A45)))</f>
        <v>0</v>
      </c>
      <c r="O45" s="229"/>
      <c r="P45" s="229"/>
      <c r="AG45" s="5"/>
      <c r="AH45" s="5"/>
      <c r="AI45" s="5"/>
      <c r="AJ45" s="34"/>
      <c r="AK45" s="34"/>
      <c r="AL45" s="34"/>
      <c r="AM45" s="34"/>
      <c r="AT45" s="400"/>
      <c r="AU45" s="400"/>
      <c r="AV45" s="5" t="s">
        <v>71</v>
      </c>
      <c r="AW45" s="42">
        <v>0</v>
      </c>
      <c r="AX45" s="37">
        <v>0</v>
      </c>
      <c r="AY45" s="5" t="s">
        <v>72</v>
      </c>
      <c r="AZ45" s="400"/>
      <c r="BA45" s="400"/>
      <c r="BB45" s="5" t="s">
        <v>71</v>
      </c>
      <c r="BC45" s="42">
        <v>0</v>
      </c>
      <c r="BD45" s="37">
        <v>0</v>
      </c>
      <c r="BE45" s="5" t="s">
        <v>72</v>
      </c>
      <c r="BJ45" s="5"/>
      <c r="BK45" s="5"/>
      <c r="BL45" s="5"/>
      <c r="BM45" s="34"/>
      <c r="BN45" s="34"/>
      <c r="BO45" s="34"/>
      <c r="BP45" s="34"/>
      <c r="BQ45" s="5"/>
      <c r="BR45" s="17"/>
      <c r="BS45" s="17"/>
      <c r="BT45" s="17"/>
      <c r="BW45" s="400"/>
      <c r="BX45" s="400"/>
      <c r="BY45" s="5" t="s">
        <v>71</v>
      </c>
      <c r="BZ45" s="42">
        <v>0</v>
      </c>
      <c r="CA45" s="37">
        <v>0</v>
      </c>
      <c r="CB45" s="5" t="s">
        <v>72</v>
      </c>
      <c r="CC45" s="400"/>
      <c r="CD45" s="400"/>
      <c r="CE45" s="5" t="s">
        <v>71</v>
      </c>
      <c r="CF45" s="42">
        <v>0</v>
      </c>
      <c r="CG45" s="37">
        <v>0</v>
      </c>
      <c r="CH45" s="5" t="s">
        <v>72</v>
      </c>
      <c r="CJ45" s="358"/>
    </row>
    <row r="46" spans="1:88" ht="20" customHeight="1">
      <c r="A46" s="236">
        <f>O11</f>
        <v>0</v>
      </c>
      <c r="B46" s="356">
        <f>ABS($M$11-A46)</f>
        <v>0</v>
      </c>
      <c r="C46" s="357"/>
      <c r="D46" s="96"/>
      <c r="E46" s="234"/>
      <c r="F46" s="397"/>
      <c r="G46" s="397"/>
      <c r="H46" s="101" t="s">
        <v>43</v>
      </c>
      <c r="I46" s="105">
        <f>O11</f>
        <v>0</v>
      </c>
      <c r="J46" s="104">
        <f t="shared" si="21"/>
        <v>0</v>
      </c>
      <c r="K46" s="323">
        <f>('Inputs - Metric'!K46)*0.907</f>
        <v>0</v>
      </c>
      <c r="L46" s="324">
        <f>'Inputs - Metric'!L46</f>
        <v>0</v>
      </c>
      <c r="M46" s="355">
        <f>'Inputs - Metric'!M46</f>
        <v>0</v>
      </c>
      <c r="N46" s="240"/>
      <c r="O46" s="229"/>
      <c r="P46" s="229"/>
      <c r="AG46" s="5"/>
      <c r="AH46" s="5"/>
      <c r="AI46" s="5"/>
      <c r="AJ46" s="34"/>
      <c r="AK46" s="34"/>
      <c r="AL46" s="34"/>
      <c r="AM46" s="34"/>
      <c r="AT46" s="398">
        <v>3</v>
      </c>
      <c r="AU46" s="398" t="s">
        <v>30</v>
      </c>
      <c r="AV46" s="35" t="s">
        <v>57</v>
      </c>
      <c r="AW46" s="36">
        <f t="array" ref="AW46:AX50">LINEST(AR16:AR20,AQ16:AQ20^{1,2,3},TRUE,TRUE)</f>
        <v>0</v>
      </c>
      <c r="AX46" s="35">
        <v>0</v>
      </c>
      <c r="AY46" s="35" t="s">
        <v>65</v>
      </c>
      <c r="AZ46" s="398">
        <v>6</v>
      </c>
      <c r="BA46" s="398" t="s">
        <v>30</v>
      </c>
      <c r="BB46" s="35" t="s">
        <v>57</v>
      </c>
      <c r="BC46" s="36">
        <f t="array" ref="BC46:BD50">LINEST(AR25:AR31,AQ25:AQ31^{1,2,3},TRUE,TRUE)</f>
        <v>0</v>
      </c>
      <c r="BD46" s="35">
        <v>0</v>
      </c>
      <c r="BE46" s="35" t="s">
        <v>65</v>
      </c>
      <c r="BJ46" s="5"/>
      <c r="BK46" s="5"/>
      <c r="BL46" s="5"/>
      <c r="BM46" s="34"/>
      <c r="BN46" s="34"/>
      <c r="BO46" s="34"/>
      <c r="BP46" s="34"/>
      <c r="BQ46" s="5"/>
      <c r="BR46" s="17"/>
      <c r="BS46" s="17"/>
      <c r="BT46" s="17"/>
      <c r="BW46" s="398">
        <v>3</v>
      </c>
      <c r="BX46" s="398" t="s">
        <v>30</v>
      </c>
      <c r="BY46" s="35" t="s">
        <v>57</v>
      </c>
      <c r="BZ46" s="36">
        <f t="array" ref="BZ46:CA50">LINEST(BU16:BU20,BT16:BT20^{1,2,3},TRUE,TRUE)</f>
        <v>0</v>
      </c>
      <c r="CA46" s="35">
        <v>0</v>
      </c>
      <c r="CB46" s="35" t="s">
        <v>65</v>
      </c>
      <c r="CC46" s="398">
        <v>6</v>
      </c>
      <c r="CD46" s="398" t="s">
        <v>30</v>
      </c>
      <c r="CE46" s="35" t="s">
        <v>57</v>
      </c>
      <c r="CF46" s="36">
        <f t="array" ref="CF46:CG50">LINEST(BU25:BU31,BT25:BT31^{1,2,3},TRUE,TRUE)</f>
        <v>0</v>
      </c>
      <c r="CG46" s="35">
        <v>0</v>
      </c>
      <c r="CH46" s="35" t="s">
        <v>65</v>
      </c>
      <c r="CJ46" s="358"/>
    </row>
    <row r="47" spans="1:88" ht="20" customHeight="1">
      <c r="A47" s="236">
        <f>N12</f>
        <v>0</v>
      </c>
      <c r="B47" s="356">
        <f>ABS($M$12-A47)</f>
        <v>0</v>
      </c>
      <c r="C47" s="279">
        <f>MIN(B47:B51)</f>
        <v>0</v>
      </c>
      <c r="D47" s="96"/>
      <c r="E47" s="234"/>
      <c r="F47" s="397">
        <v>6</v>
      </c>
      <c r="G47" s="397"/>
      <c r="H47" s="101" t="s">
        <v>42</v>
      </c>
      <c r="I47" s="105">
        <f>N12</f>
        <v>0</v>
      </c>
      <c r="J47" s="104">
        <f t="shared" si="21"/>
        <v>0</v>
      </c>
      <c r="K47" s="323">
        <f>('Inputs - Metric'!K47)*0.907</f>
        <v>0</v>
      </c>
      <c r="L47" s="324">
        <f>'Inputs - Metric'!L47</f>
        <v>0</v>
      </c>
      <c r="M47" s="355">
        <f>'Inputs - Metric'!M47</f>
        <v>0</v>
      </c>
      <c r="N47" s="240"/>
      <c r="O47" s="229"/>
      <c r="P47" s="229"/>
      <c r="AG47" s="5"/>
      <c r="AH47" s="5"/>
      <c r="AI47" s="5"/>
      <c r="AJ47" s="34"/>
      <c r="AK47" s="34"/>
      <c r="AL47" s="34"/>
      <c r="AM47" s="34"/>
      <c r="AT47" s="401"/>
      <c r="AU47" s="401"/>
      <c r="AV47" s="37" t="s">
        <v>66</v>
      </c>
      <c r="AW47" s="42">
        <v>0</v>
      </c>
      <c r="AX47" s="37">
        <v>0</v>
      </c>
      <c r="AY47" s="37" t="s">
        <v>67</v>
      </c>
      <c r="AZ47" s="401"/>
      <c r="BA47" s="401"/>
      <c r="BB47" s="37" t="s">
        <v>66</v>
      </c>
      <c r="BC47" s="42">
        <v>0</v>
      </c>
      <c r="BD47" s="37">
        <v>0</v>
      </c>
      <c r="BE47" s="37" t="s">
        <v>67</v>
      </c>
      <c r="BJ47" s="5"/>
      <c r="BK47" s="5"/>
      <c r="BL47" s="5"/>
      <c r="BM47" s="34"/>
      <c r="BN47" s="34"/>
      <c r="BO47" s="34"/>
      <c r="BP47" s="34"/>
      <c r="BQ47" s="5"/>
      <c r="BR47" s="17"/>
      <c r="BS47" s="17"/>
      <c r="BT47" s="17"/>
      <c r="BW47" s="401"/>
      <c r="BX47" s="401"/>
      <c r="BY47" s="37" t="s">
        <v>66</v>
      </c>
      <c r="BZ47" s="42">
        <v>0</v>
      </c>
      <c r="CA47" s="37">
        <v>0</v>
      </c>
      <c r="CB47" s="37" t="s">
        <v>67</v>
      </c>
      <c r="CC47" s="401"/>
      <c r="CD47" s="401"/>
      <c r="CE47" s="37" t="s">
        <v>66</v>
      </c>
      <c r="CF47" s="42">
        <v>0</v>
      </c>
      <c r="CG47" s="37">
        <v>0</v>
      </c>
      <c r="CH47" s="37" t="s">
        <v>67</v>
      </c>
      <c r="CJ47" s="358"/>
    </row>
    <row r="48" spans="1:88" ht="20" customHeight="1">
      <c r="A48" s="236">
        <f>A47*0.76+A51*0.24</f>
        <v>0</v>
      </c>
      <c r="B48" s="356">
        <f>ABS($M$12-A48)</f>
        <v>0</v>
      </c>
      <c r="C48" s="357"/>
      <c r="D48" s="96"/>
      <c r="E48" s="234"/>
      <c r="F48" s="397"/>
      <c r="G48" s="397"/>
      <c r="H48" s="102" t="s">
        <v>98</v>
      </c>
      <c r="I48" s="227">
        <f>IF(M12=N12,A48,N48)</f>
        <v>0</v>
      </c>
      <c r="J48" s="104">
        <f t="shared" si="21"/>
        <v>0</v>
      </c>
      <c r="K48" s="323">
        <f>('Inputs - Metric'!K48)*0.907</f>
        <v>0</v>
      </c>
      <c r="L48" s="324">
        <f>'Inputs - Metric'!L48</f>
        <v>0</v>
      </c>
      <c r="M48" s="355">
        <f>'Inputs - Metric'!M48</f>
        <v>0</v>
      </c>
      <c r="N48" s="239">
        <f>IF(B47=B48,$M$12,IF(B47=$C$47,$M$12, IF(B48&lt;=$C$47,$M$12,A48)))</f>
        <v>0</v>
      </c>
      <c r="O48" s="229"/>
      <c r="P48" s="229"/>
      <c r="AG48" s="5"/>
      <c r="AH48" s="5"/>
      <c r="AI48" s="5"/>
      <c r="AJ48" s="34"/>
      <c r="AK48" s="34"/>
      <c r="AL48" s="34"/>
      <c r="AM48" s="34"/>
      <c r="AT48" s="401"/>
      <c r="AU48" s="401"/>
      <c r="AV48" s="37" t="s">
        <v>31</v>
      </c>
      <c r="AW48" s="42">
        <v>1</v>
      </c>
      <c r="AX48" s="37">
        <v>0</v>
      </c>
      <c r="AY48" s="37" t="s">
        <v>68</v>
      </c>
      <c r="AZ48" s="401"/>
      <c r="BA48" s="401"/>
      <c r="BB48" s="37" t="s">
        <v>31</v>
      </c>
      <c r="BC48" s="42">
        <v>1</v>
      </c>
      <c r="BD48" s="37">
        <v>0</v>
      </c>
      <c r="BE48" s="37" t="s">
        <v>68</v>
      </c>
      <c r="BJ48" s="5"/>
      <c r="BK48" s="5"/>
      <c r="BL48" s="5"/>
      <c r="BM48" s="34"/>
      <c r="BN48" s="34"/>
      <c r="BO48" s="34"/>
      <c r="BP48" s="34"/>
      <c r="BQ48" s="5"/>
      <c r="BR48" s="17"/>
      <c r="BS48" s="17"/>
      <c r="BT48" s="17"/>
      <c r="BW48" s="401"/>
      <c r="BX48" s="401"/>
      <c r="BY48" s="37" t="s">
        <v>31</v>
      </c>
      <c r="BZ48" s="42">
        <v>1</v>
      </c>
      <c r="CA48" s="37">
        <v>0</v>
      </c>
      <c r="CB48" s="37" t="s">
        <v>68</v>
      </c>
      <c r="CC48" s="401"/>
      <c r="CD48" s="401"/>
      <c r="CE48" s="37" t="s">
        <v>31</v>
      </c>
      <c r="CF48" s="42">
        <v>1</v>
      </c>
      <c r="CG48" s="37">
        <v>0</v>
      </c>
      <c r="CH48" s="37" t="s">
        <v>68</v>
      </c>
      <c r="CJ48" s="358"/>
    </row>
    <row r="49" spans="1:88" ht="20" customHeight="1">
      <c r="A49" s="236">
        <f>A47*0.5+A51*0.5</f>
        <v>0</v>
      </c>
      <c r="B49" s="356">
        <f>ABS($M$12-A49)</f>
        <v>0</v>
      </c>
      <c r="C49" s="357"/>
      <c r="D49" s="96"/>
      <c r="E49" s="234"/>
      <c r="F49" s="397"/>
      <c r="G49" s="397"/>
      <c r="H49" s="102" t="s">
        <v>98</v>
      </c>
      <c r="I49" s="227">
        <f>IF(B49&lt;=$C$47,$M$12,A49)</f>
        <v>0</v>
      </c>
      <c r="J49" s="104">
        <f t="shared" si="21"/>
        <v>0</v>
      </c>
      <c r="K49" s="323">
        <f>('Inputs - Metric'!K49)*0.907</f>
        <v>0</v>
      </c>
      <c r="L49" s="324">
        <f>'Inputs - Metric'!L49</f>
        <v>0</v>
      </c>
      <c r="M49" s="355">
        <f>'Inputs - Metric'!M49</f>
        <v>0</v>
      </c>
      <c r="N49" s="239"/>
      <c r="O49" s="229"/>
      <c r="P49" s="229"/>
      <c r="AG49" s="5"/>
      <c r="AH49" s="5"/>
      <c r="AI49" s="5"/>
      <c r="AJ49" s="34"/>
      <c r="AK49" s="34"/>
      <c r="AL49" s="34"/>
      <c r="AM49" s="34"/>
      <c r="AT49" s="401"/>
      <c r="AU49" s="401"/>
      <c r="AV49" s="37" t="s">
        <v>69</v>
      </c>
      <c r="AW49" s="42" t="e">
        <v>#NUM!</v>
      </c>
      <c r="AX49" s="37">
        <v>1</v>
      </c>
      <c r="AY49" s="37" t="s">
        <v>70</v>
      </c>
      <c r="AZ49" s="401"/>
      <c r="BA49" s="401"/>
      <c r="BB49" s="37" t="s">
        <v>69</v>
      </c>
      <c r="BC49" s="42" t="e">
        <v>#NUM!</v>
      </c>
      <c r="BD49" s="37">
        <v>3</v>
      </c>
      <c r="BE49" s="37" t="s">
        <v>70</v>
      </c>
      <c r="BJ49" s="5"/>
      <c r="BK49" s="5"/>
      <c r="BL49" s="5"/>
      <c r="BM49" s="34"/>
      <c r="BN49" s="34"/>
      <c r="BO49" s="34"/>
      <c r="BP49" s="34"/>
      <c r="BQ49" s="5"/>
      <c r="BR49" s="17"/>
      <c r="BS49" s="17"/>
      <c r="BT49" s="17"/>
      <c r="BW49" s="401"/>
      <c r="BX49" s="401"/>
      <c r="BY49" s="37" t="s">
        <v>69</v>
      </c>
      <c r="BZ49" s="42" t="e">
        <v>#NUM!</v>
      </c>
      <c r="CA49" s="37">
        <v>1</v>
      </c>
      <c r="CB49" s="37" t="s">
        <v>70</v>
      </c>
      <c r="CC49" s="401"/>
      <c r="CD49" s="401"/>
      <c r="CE49" s="37" t="s">
        <v>69</v>
      </c>
      <c r="CF49" s="42" t="e">
        <v>#NUM!</v>
      </c>
      <c r="CG49" s="37">
        <v>3</v>
      </c>
      <c r="CH49" s="37" t="s">
        <v>70</v>
      </c>
      <c r="CJ49" s="358"/>
    </row>
    <row r="50" spans="1:88" ht="20" customHeight="1">
      <c r="A50" s="236">
        <f>A47*0.26+A51*0.74</f>
        <v>0</v>
      </c>
      <c r="B50" s="356">
        <f>ABS($M$12-A50)</f>
        <v>0</v>
      </c>
      <c r="C50" s="357"/>
      <c r="D50" s="96"/>
      <c r="E50" s="234"/>
      <c r="F50" s="397"/>
      <c r="G50" s="397"/>
      <c r="H50" s="102" t="s">
        <v>98</v>
      </c>
      <c r="I50" s="227">
        <f>IF(M12=O12,A50,N50)</f>
        <v>0</v>
      </c>
      <c r="J50" s="104">
        <f t="shared" si="21"/>
        <v>0</v>
      </c>
      <c r="K50" s="323">
        <f>('Inputs - Metric'!K50)*0.907</f>
        <v>0</v>
      </c>
      <c r="L50" s="324">
        <f>'Inputs - Metric'!L50</f>
        <v>0</v>
      </c>
      <c r="M50" s="355">
        <f>'Inputs - Metric'!M50</f>
        <v>0</v>
      </c>
      <c r="N50" s="239">
        <f>IF(B50=B51,$M$12, IF(B51=$C$47,$M$12, IF(B50&lt;=$C$47,$M$12,A50)))</f>
        <v>0</v>
      </c>
      <c r="O50" s="229"/>
      <c r="P50" s="229"/>
      <c r="AG50" s="5"/>
      <c r="AH50" s="5"/>
      <c r="AI50" s="5"/>
      <c r="AJ50" s="34"/>
      <c r="AK50" s="34"/>
      <c r="AL50" s="34"/>
      <c r="AM50" s="34"/>
      <c r="AT50" s="400"/>
      <c r="AU50" s="400"/>
      <c r="AV50" s="39" t="s">
        <v>71</v>
      </c>
      <c r="AW50" s="39">
        <v>0</v>
      </c>
      <c r="AX50" s="39">
        <v>0</v>
      </c>
      <c r="AY50" s="39" t="s">
        <v>72</v>
      </c>
      <c r="AZ50" s="400"/>
      <c r="BA50" s="400"/>
      <c r="BB50" s="39" t="s">
        <v>71</v>
      </c>
      <c r="BC50" s="39">
        <v>0</v>
      </c>
      <c r="BD50" s="39">
        <v>0</v>
      </c>
      <c r="BE50" s="39" t="s">
        <v>72</v>
      </c>
      <c r="BJ50" s="5"/>
      <c r="BK50" s="5"/>
      <c r="BL50" s="5"/>
      <c r="BM50" s="34"/>
      <c r="BN50" s="34"/>
      <c r="BO50" s="34"/>
      <c r="BP50" s="34"/>
      <c r="BQ50" s="5"/>
      <c r="BR50" s="17"/>
      <c r="BS50" s="17"/>
      <c r="BT50" s="17"/>
      <c r="BW50" s="400"/>
      <c r="BX50" s="400"/>
      <c r="BY50" s="39" t="s">
        <v>71</v>
      </c>
      <c r="BZ50" s="39">
        <v>0</v>
      </c>
      <c r="CA50" s="39">
        <v>0</v>
      </c>
      <c r="CB50" s="39" t="s">
        <v>72</v>
      </c>
      <c r="CC50" s="400"/>
      <c r="CD50" s="400"/>
      <c r="CE50" s="39" t="s">
        <v>71</v>
      </c>
      <c r="CF50" s="39">
        <v>0</v>
      </c>
      <c r="CG50" s="39">
        <v>0</v>
      </c>
      <c r="CH50" s="39" t="s">
        <v>72</v>
      </c>
      <c r="CJ50" s="358"/>
    </row>
    <row r="51" spans="1:88" ht="20" customHeight="1">
      <c r="A51" s="236">
        <f>O12</f>
        <v>0</v>
      </c>
      <c r="B51" s="356">
        <f>ABS($M$12-A51)</f>
        <v>0</v>
      </c>
      <c r="C51" s="357"/>
      <c r="D51" s="96"/>
      <c r="E51" s="234"/>
      <c r="F51" s="397"/>
      <c r="G51" s="397"/>
      <c r="H51" s="101" t="s">
        <v>43</v>
      </c>
      <c r="I51" s="105">
        <f>O12</f>
        <v>0</v>
      </c>
      <c r="J51" s="104">
        <f t="shared" si="21"/>
        <v>0</v>
      </c>
      <c r="K51" s="323">
        <f>('Inputs - Metric'!K51)*0.907</f>
        <v>0</v>
      </c>
      <c r="L51" s="324">
        <f>'Inputs - Metric'!L51</f>
        <v>0</v>
      </c>
      <c r="M51" s="355">
        <f>'Inputs - Metric'!M51</f>
        <v>0</v>
      </c>
      <c r="N51" s="241"/>
      <c r="O51" s="229"/>
      <c r="P51" s="229"/>
      <c r="AG51" s="5"/>
      <c r="AH51" s="5"/>
      <c r="AI51" s="5"/>
      <c r="AJ51" s="34"/>
      <c r="AK51" s="34"/>
      <c r="AL51" s="34"/>
      <c r="AM51" s="34"/>
      <c r="CJ51" s="358"/>
    </row>
    <row r="52" spans="1:88" ht="20" customHeight="1">
      <c r="AG52" s="5"/>
      <c r="AH52" s="5"/>
      <c r="AI52" s="5"/>
      <c r="AJ52" s="34"/>
      <c r="AK52" s="34"/>
      <c r="AL52" s="34"/>
      <c r="AM52" s="34"/>
    </row>
    <row r="53" spans="1:88" ht="20" customHeight="1">
      <c r="F53" s="3"/>
      <c r="G53" s="3"/>
      <c r="H53" s="3"/>
      <c r="AG53" s="5"/>
      <c r="AH53" s="5"/>
      <c r="AI53" s="5"/>
      <c r="AJ53" s="34"/>
      <c r="AK53" s="34"/>
      <c r="AL53" s="34"/>
      <c r="AM53" s="34"/>
    </row>
    <row r="54" spans="1:88" ht="20" customHeight="1">
      <c r="F54" s="3"/>
      <c r="G54" s="3"/>
      <c r="H54" s="3"/>
      <c r="I54" s="228"/>
      <c r="J54" s="228"/>
      <c r="AG54" s="5"/>
      <c r="AH54" s="5"/>
      <c r="AI54" s="5"/>
      <c r="AJ54" s="34"/>
      <c r="AK54" s="34"/>
      <c r="AL54" s="34"/>
      <c r="AM54" s="34"/>
    </row>
    <row r="55" spans="1:88" ht="20" customHeight="1">
      <c r="F55" s="3"/>
      <c r="G55" s="3"/>
      <c r="H55" s="3"/>
      <c r="AG55" s="5"/>
      <c r="AH55" s="5"/>
      <c r="AI55" s="5"/>
      <c r="AJ55" s="34"/>
      <c r="AK55" s="34"/>
      <c r="AL55" s="34"/>
      <c r="AM55" s="34"/>
    </row>
    <row r="56" spans="1:88" ht="20" customHeight="1">
      <c r="L56" s="65"/>
      <c r="AG56" s="5"/>
      <c r="AH56" s="5"/>
      <c r="AI56" s="5"/>
      <c r="AJ56" s="34"/>
      <c r="AK56" s="34"/>
      <c r="AL56" s="34"/>
      <c r="AM56" s="34"/>
    </row>
    <row r="57" spans="1:88" ht="20" customHeight="1">
      <c r="E57" s="3"/>
      <c r="F57" s="3"/>
      <c r="G57" s="3"/>
      <c r="H57" s="3"/>
      <c r="AG57" s="5"/>
      <c r="AH57" s="5"/>
      <c r="AI57" s="5"/>
      <c r="AJ57" s="34"/>
      <c r="AK57" s="34"/>
      <c r="AL57" s="34"/>
      <c r="AM57" s="34"/>
    </row>
    <row r="58" spans="1:88" ht="20" customHeight="1">
      <c r="E58" s="3"/>
      <c r="F58" s="3"/>
      <c r="G58" s="3"/>
      <c r="H58" s="3"/>
      <c r="AG58" s="5"/>
      <c r="AH58" s="5"/>
      <c r="AI58" s="5"/>
      <c r="AJ58" s="34"/>
      <c r="AK58" s="34"/>
      <c r="AL58" s="34"/>
      <c r="AM58" s="34"/>
    </row>
    <row r="59" spans="1:88" ht="20" customHeight="1">
      <c r="E59" s="3"/>
      <c r="F59" s="3"/>
      <c r="G59" s="3"/>
      <c r="H59" s="3"/>
      <c r="AG59" s="5"/>
      <c r="AH59" s="5"/>
      <c r="AI59" s="5"/>
      <c r="AJ59" s="34"/>
      <c r="AK59" s="34"/>
      <c r="AL59" s="34"/>
      <c r="AM59" s="34"/>
    </row>
    <row r="60" spans="1:88" ht="20" customHeight="1">
      <c r="AG60" s="5"/>
      <c r="AH60" s="5"/>
      <c r="AI60" s="5"/>
      <c r="AJ60" s="34"/>
      <c r="AK60" s="34"/>
      <c r="AL60" s="34"/>
      <c r="AM60" s="34"/>
    </row>
    <row r="61" spans="1:88" ht="20" customHeight="1">
      <c r="E61" s="3"/>
      <c r="AG61" s="5"/>
      <c r="AH61" s="5"/>
      <c r="AI61" s="5"/>
      <c r="AJ61" s="34"/>
      <c r="AK61" s="34"/>
      <c r="AL61" s="34"/>
      <c r="AM61" s="34"/>
    </row>
    <row r="62" spans="1:88" ht="20" customHeight="1">
      <c r="E62" s="3"/>
      <c r="AG62" s="5"/>
      <c r="AH62" s="5"/>
      <c r="AI62" s="5"/>
      <c r="AJ62" s="34"/>
      <c r="AK62" s="34"/>
      <c r="AL62" s="34"/>
      <c r="AM62" s="34"/>
    </row>
    <row r="63" spans="1:88" ht="20" customHeight="1">
      <c r="E63" s="3"/>
      <c r="AG63" s="5"/>
      <c r="AH63" s="5"/>
      <c r="AI63" s="5"/>
      <c r="AJ63" s="34"/>
      <c r="AK63" s="34"/>
      <c r="AL63" s="34"/>
      <c r="AM63" s="34"/>
    </row>
    <row r="64" spans="1:88" ht="20" customHeight="1">
      <c r="AG64" s="5"/>
      <c r="AH64" s="5"/>
      <c r="AI64" s="5"/>
      <c r="AJ64" s="34"/>
      <c r="AK64" s="34"/>
      <c r="AL64" s="34"/>
      <c r="AM64" s="34"/>
    </row>
    <row r="65" spans="33:39" ht="20" customHeight="1">
      <c r="AG65" s="5"/>
      <c r="AH65" s="5"/>
      <c r="AI65" s="5"/>
      <c r="AJ65" s="34"/>
      <c r="AK65" s="34"/>
      <c r="AL65" s="34"/>
      <c r="AM65" s="34"/>
    </row>
    <row r="66" spans="33:39" ht="20" customHeight="1">
      <c r="AG66" s="5"/>
      <c r="AH66" s="5"/>
      <c r="AI66" s="5"/>
      <c r="AJ66" s="34"/>
      <c r="AK66" s="34"/>
      <c r="AL66" s="34"/>
      <c r="AM66" s="34"/>
    </row>
    <row r="67" spans="33:39" ht="20" customHeight="1">
      <c r="AG67" s="5"/>
      <c r="AH67" s="5"/>
      <c r="AI67" s="5"/>
      <c r="AJ67" s="34"/>
      <c r="AK67" s="34"/>
      <c r="AL67" s="34"/>
      <c r="AM67" s="34"/>
    </row>
    <row r="68" spans="33:39" ht="20" customHeight="1"/>
    <row r="69" spans="33:39" ht="20" customHeight="1"/>
    <row r="70" spans="33:39" ht="20" customHeight="1"/>
    <row r="71" spans="33:39" ht="20" customHeight="1"/>
    <row r="72" spans="33:39" ht="20" customHeight="1"/>
    <row r="73" spans="33:39" ht="20" customHeight="1"/>
    <row r="74" spans="33:39" ht="20" customHeight="1"/>
    <row r="75" spans="33:39" ht="20" customHeight="1"/>
    <row r="76" spans="33:39" ht="20" customHeight="1"/>
    <row r="77" spans="33:39" ht="20" customHeight="1"/>
    <row r="78" spans="33:39" ht="20" customHeight="1"/>
    <row r="79" spans="33:39" ht="20" customHeight="1"/>
    <row r="80" spans="33:39" ht="20" customHeight="1"/>
    <row r="81" ht="20" customHeight="1"/>
    <row r="82" ht="20" customHeight="1"/>
    <row r="83" ht="20" customHeight="1"/>
    <row r="84" ht="20" customHeight="1"/>
    <row r="85" ht="20" customHeight="1"/>
    <row r="86" ht="20" customHeight="1"/>
    <row r="87" ht="20" customHeight="1"/>
    <row r="88" ht="20" customHeight="1"/>
    <row r="89" ht="20" customHeight="1"/>
    <row r="90" ht="20" customHeight="1"/>
    <row r="91" ht="20" customHeight="1"/>
    <row r="92" ht="20" customHeight="1"/>
    <row r="93" ht="20" customHeight="1"/>
    <row r="94" ht="20" customHeight="1"/>
    <row r="95" ht="20" customHeight="1"/>
    <row r="96" ht="20" customHeight="1"/>
    <row r="97" ht="20" customHeight="1"/>
    <row r="98" ht="20" customHeight="1"/>
    <row r="99" ht="20" customHeight="1"/>
    <row r="100" ht="20" customHeight="1"/>
    <row r="101" ht="20" customHeight="1"/>
    <row r="102" ht="20" customHeight="1"/>
    <row r="103" ht="20" customHeight="1"/>
    <row r="104" ht="20" customHeight="1"/>
    <row r="105" ht="20" customHeight="1"/>
    <row r="106" ht="20" customHeight="1"/>
    <row r="107" ht="20" customHeight="1"/>
    <row r="108" ht="20" customHeight="1"/>
    <row r="109" ht="20" customHeight="1"/>
    <row r="110" ht="20" customHeight="1"/>
    <row r="111" ht="20" customHeight="1"/>
    <row r="112" ht="20" customHeight="1"/>
    <row r="113" ht="20" customHeight="1"/>
    <row r="114" ht="20" customHeight="1"/>
    <row r="115" ht="20" customHeight="1"/>
    <row r="116" ht="20" customHeight="1"/>
    <row r="117" ht="20" customHeight="1"/>
    <row r="118" ht="20" customHeight="1"/>
    <row r="119" ht="20" customHeight="1"/>
    <row r="120" ht="20" customHeight="1"/>
    <row r="121" ht="20" customHeight="1"/>
    <row r="122" ht="20" customHeight="1"/>
    <row r="123" ht="20" customHeight="1"/>
    <row r="124" ht="20" customHeight="1"/>
    <row r="125" ht="20" customHeight="1"/>
    <row r="126" ht="20" customHeight="1"/>
    <row r="127" ht="20" customHeight="1"/>
    <row r="128" ht="20" customHeight="1"/>
    <row r="129" ht="20" customHeight="1"/>
    <row r="130" ht="20" customHeight="1"/>
    <row r="131" ht="20" customHeight="1"/>
    <row r="132" ht="20" customHeight="1"/>
    <row r="133" ht="20" customHeight="1"/>
    <row r="134" ht="20" customHeight="1"/>
    <row r="135" ht="20" customHeight="1"/>
    <row r="136" ht="20" customHeight="1"/>
    <row r="137" ht="20" customHeight="1"/>
    <row r="138" ht="20" customHeight="1"/>
    <row r="139" ht="20" customHeight="1"/>
    <row r="140" ht="20" customHeight="1"/>
    <row r="141" ht="20" customHeight="1"/>
    <row r="142" ht="20" customHeight="1"/>
    <row r="143" ht="20" customHeight="1"/>
    <row r="144" ht="20" customHeight="1"/>
    <row r="145" ht="20" customHeight="1"/>
    <row r="146" ht="20" customHeight="1"/>
    <row r="147" ht="20" customHeight="1"/>
    <row r="148" ht="20" customHeight="1"/>
    <row r="149" ht="20" customHeight="1"/>
    <row r="150" ht="20" customHeight="1"/>
    <row r="151" ht="20" customHeight="1"/>
    <row r="152" ht="20" customHeight="1"/>
    <row r="153" ht="20" customHeight="1"/>
    <row r="154" ht="20" customHeight="1"/>
    <row r="155" ht="20" customHeight="1"/>
    <row r="156" ht="20" customHeight="1"/>
    <row r="157" ht="20" customHeight="1"/>
    <row r="158" ht="20" customHeight="1"/>
    <row r="159" ht="20" customHeight="1"/>
    <row r="160" ht="20" customHeight="1"/>
    <row r="161" ht="20" customHeight="1"/>
    <row r="162" ht="20" customHeight="1"/>
    <row r="163" ht="20" customHeight="1"/>
    <row r="164" ht="20" customHeight="1"/>
    <row r="165" ht="20" customHeight="1"/>
    <row r="166" ht="20" customHeight="1"/>
    <row r="167" ht="20" customHeight="1"/>
    <row r="168" ht="20" customHeight="1"/>
    <row r="169" ht="20" customHeight="1"/>
    <row r="170" ht="20" customHeight="1"/>
    <row r="171" ht="20" customHeight="1"/>
    <row r="172" ht="20" customHeight="1"/>
    <row r="173" ht="20" customHeight="1"/>
    <row r="174" ht="20" customHeight="1"/>
    <row r="175" ht="20" customHeight="1"/>
    <row r="176" ht="20" customHeight="1"/>
    <row r="177" ht="20" customHeight="1"/>
    <row r="178" ht="20" customHeight="1"/>
    <row r="179" ht="20" customHeight="1"/>
    <row r="180" ht="20" customHeight="1"/>
    <row r="181" ht="20" customHeight="1"/>
    <row r="182" ht="20" customHeight="1"/>
    <row r="183" ht="20" customHeight="1"/>
    <row r="184" ht="20" customHeight="1"/>
    <row r="185" ht="20" customHeight="1"/>
    <row r="186" ht="20" customHeight="1"/>
    <row r="187" ht="20" customHeight="1"/>
    <row r="188" ht="20" customHeight="1"/>
    <row r="189" ht="20" customHeight="1"/>
    <row r="190" ht="20" customHeight="1"/>
    <row r="191" ht="20" customHeight="1"/>
    <row r="192" ht="20" customHeight="1"/>
    <row r="193" ht="20" customHeight="1"/>
    <row r="194" ht="20" customHeight="1"/>
    <row r="195" ht="20" customHeight="1"/>
    <row r="196" ht="20" customHeight="1"/>
    <row r="197" ht="20" customHeight="1"/>
    <row r="198" ht="20" customHeight="1"/>
    <row r="199" ht="20" customHeight="1"/>
    <row r="200" ht="20" customHeight="1"/>
    <row r="201" ht="20" customHeight="1"/>
    <row r="202" ht="20" customHeight="1"/>
    <row r="203" ht="20" customHeight="1"/>
    <row r="204" ht="20" customHeight="1"/>
    <row r="205" ht="20" customHeight="1"/>
    <row r="206" ht="20" customHeight="1"/>
    <row r="207" ht="20" customHeight="1"/>
    <row r="208" ht="20" customHeight="1"/>
    <row r="209" ht="20" customHeight="1"/>
    <row r="210" ht="20" customHeight="1"/>
    <row r="211" ht="20" customHeight="1"/>
    <row r="212" ht="20" customHeight="1"/>
    <row r="213" ht="20" customHeight="1"/>
    <row r="214" ht="20" customHeight="1"/>
    <row r="215" ht="20" customHeight="1"/>
    <row r="216" ht="20" customHeight="1"/>
    <row r="217" ht="20" customHeight="1"/>
    <row r="218" ht="20" customHeight="1"/>
    <row r="219" ht="20" customHeight="1"/>
    <row r="220" ht="20" customHeight="1"/>
    <row r="221" ht="20" customHeight="1"/>
    <row r="222" ht="20" customHeight="1"/>
    <row r="223" ht="20" customHeight="1"/>
    <row r="224" ht="20" customHeight="1"/>
    <row r="225" ht="20" customHeight="1"/>
    <row r="226" ht="20" customHeight="1"/>
    <row r="227" ht="20" customHeight="1"/>
    <row r="228" ht="20" customHeight="1"/>
    <row r="229" ht="20" customHeight="1"/>
    <row r="230" ht="20" customHeight="1"/>
    <row r="231" ht="20" customHeight="1"/>
    <row r="232" ht="20" customHeight="1"/>
    <row r="233" ht="20" customHeight="1"/>
    <row r="234" ht="20" customHeight="1"/>
    <row r="235" ht="20" customHeight="1"/>
    <row r="236" ht="20" customHeight="1"/>
    <row r="237" ht="20" customHeight="1"/>
    <row r="238" ht="20" customHeight="1"/>
    <row r="239" ht="20" customHeight="1"/>
    <row r="240" ht="20" customHeight="1"/>
    <row r="241" ht="20" customHeight="1"/>
    <row r="242" ht="20" customHeight="1"/>
    <row r="243" ht="20" customHeight="1"/>
    <row r="244" ht="20" customHeight="1"/>
    <row r="245" ht="20" customHeight="1"/>
    <row r="246" ht="20" customHeight="1"/>
    <row r="247" ht="20" customHeight="1"/>
    <row r="248" ht="20" customHeight="1"/>
    <row r="249" ht="20" customHeight="1"/>
    <row r="250" ht="20" customHeight="1"/>
    <row r="251" ht="20" customHeight="1"/>
    <row r="252" ht="20" customHeight="1"/>
    <row r="253" ht="20" customHeight="1"/>
    <row r="254" ht="20" customHeight="1"/>
    <row r="255" ht="20" customHeight="1"/>
    <row r="256" ht="20" customHeight="1"/>
    <row r="257" ht="20" customHeight="1"/>
    <row r="258" ht="20" customHeight="1"/>
    <row r="259" ht="20" customHeight="1"/>
    <row r="260" ht="20" customHeight="1"/>
    <row r="261" ht="20" customHeight="1"/>
    <row r="262" ht="20" customHeight="1"/>
    <row r="263" ht="20" customHeight="1"/>
    <row r="264" ht="20" customHeight="1"/>
    <row r="265" ht="20" customHeight="1"/>
    <row r="266" ht="20" customHeight="1"/>
    <row r="267" ht="20" customHeight="1"/>
    <row r="268" ht="20" customHeight="1"/>
    <row r="269" ht="20" customHeight="1"/>
    <row r="270" ht="20" customHeight="1"/>
    <row r="271" ht="20" customHeight="1"/>
    <row r="272" ht="20" customHeight="1"/>
    <row r="273" ht="20" customHeight="1"/>
    <row r="274" ht="20" customHeight="1"/>
    <row r="275" ht="20" customHeight="1"/>
    <row r="276" ht="20" customHeight="1"/>
    <row r="277" ht="20" customHeight="1"/>
    <row r="278" ht="20" customHeight="1"/>
    <row r="279" ht="20" customHeight="1"/>
    <row r="280" ht="20" customHeight="1"/>
    <row r="281" ht="20" customHeight="1"/>
    <row r="282" ht="20" customHeight="1"/>
    <row r="283" ht="20" customHeight="1"/>
    <row r="284" ht="20" customHeight="1"/>
    <row r="285" ht="20" customHeight="1"/>
    <row r="286" ht="20" customHeight="1"/>
    <row r="287" ht="20" customHeight="1"/>
    <row r="288" ht="20" customHeight="1"/>
    <row r="289" ht="20" customHeight="1"/>
    <row r="290" ht="20" customHeight="1"/>
    <row r="291" ht="20" customHeight="1"/>
    <row r="292" ht="20" customHeight="1"/>
    <row r="293" ht="20" customHeight="1"/>
    <row r="294" ht="20" customHeight="1"/>
    <row r="295" ht="20" customHeight="1"/>
    <row r="296" ht="20" customHeight="1"/>
    <row r="297" ht="20" customHeight="1"/>
    <row r="298" ht="20" customHeight="1"/>
    <row r="299" ht="20" customHeight="1"/>
    <row r="300" ht="20" customHeight="1"/>
    <row r="301" ht="20" customHeight="1"/>
    <row r="302" ht="20" customHeight="1"/>
    <row r="303" ht="20" customHeight="1"/>
    <row r="304" ht="20" customHeight="1"/>
    <row r="305" ht="20" customHeight="1"/>
    <row r="306" ht="20" customHeight="1"/>
    <row r="307" ht="20" customHeight="1"/>
    <row r="308" ht="20" customHeight="1"/>
    <row r="309" ht="20" customHeight="1"/>
    <row r="310" ht="20" customHeight="1"/>
    <row r="311" ht="20" customHeight="1"/>
    <row r="312" ht="20" customHeight="1"/>
    <row r="313" ht="20" customHeight="1"/>
    <row r="314" ht="20" customHeight="1"/>
    <row r="315" ht="20" customHeight="1"/>
    <row r="316" ht="20" customHeight="1"/>
    <row r="317" ht="20" customHeight="1"/>
    <row r="318" ht="20" customHeight="1"/>
    <row r="319" ht="20" customHeight="1"/>
    <row r="320" ht="20" customHeight="1"/>
    <row r="321" ht="20" customHeight="1"/>
    <row r="322" ht="20" customHeight="1"/>
    <row r="323" ht="20" customHeight="1"/>
    <row r="324" ht="20" customHeight="1"/>
    <row r="325" ht="20" customHeight="1"/>
    <row r="326" ht="20" customHeight="1"/>
    <row r="327" ht="20" customHeight="1"/>
    <row r="328" ht="20" customHeight="1"/>
    <row r="329" ht="20" customHeight="1"/>
    <row r="330" ht="20" customHeight="1"/>
    <row r="331" ht="20" customHeight="1"/>
    <row r="332" ht="20" customHeight="1"/>
    <row r="333" ht="20" customHeight="1"/>
    <row r="334" ht="20" customHeight="1"/>
    <row r="335" ht="20" customHeight="1"/>
    <row r="336" ht="20" customHeight="1"/>
    <row r="337" ht="20" customHeight="1"/>
    <row r="338" ht="20" customHeight="1"/>
    <row r="339" ht="20" customHeight="1"/>
    <row r="340" ht="20" customHeight="1"/>
    <row r="341" ht="20" customHeight="1"/>
    <row r="342" ht="20" customHeight="1"/>
    <row r="343" ht="20" customHeight="1"/>
    <row r="344" ht="20" customHeight="1"/>
    <row r="345" ht="20" customHeight="1"/>
    <row r="346" ht="20" customHeight="1"/>
    <row r="347" ht="20" customHeight="1"/>
    <row r="348" ht="20" customHeight="1"/>
    <row r="349" ht="20" customHeight="1"/>
    <row r="350" ht="20" customHeight="1"/>
    <row r="351" ht="20" customHeight="1"/>
    <row r="352" ht="20" customHeight="1"/>
    <row r="353" ht="20" customHeight="1"/>
    <row r="354" ht="20" customHeight="1"/>
    <row r="355" ht="20" customHeight="1"/>
    <row r="356" ht="20" customHeight="1"/>
    <row r="357" ht="20" customHeight="1"/>
    <row r="358" ht="20" customHeight="1"/>
    <row r="359" ht="20" customHeight="1"/>
    <row r="360" ht="20" customHeight="1"/>
    <row r="361" ht="20" customHeight="1"/>
    <row r="362" ht="20" customHeight="1"/>
    <row r="363" ht="20" customHeight="1"/>
    <row r="364" ht="20" customHeight="1"/>
    <row r="365" ht="20" customHeight="1"/>
    <row r="366" ht="20" customHeight="1"/>
    <row r="367" ht="20" customHeight="1"/>
    <row r="368" ht="20" customHeight="1"/>
    <row r="369" ht="20" customHeight="1"/>
    <row r="370" ht="20" customHeight="1"/>
    <row r="371" ht="20" customHeight="1"/>
    <row r="372" ht="20" customHeight="1"/>
    <row r="373" ht="20" customHeight="1"/>
    <row r="374" ht="20" customHeight="1"/>
    <row r="375" ht="20" customHeight="1"/>
    <row r="376" ht="20" customHeight="1"/>
    <row r="377" ht="20" customHeight="1"/>
    <row r="378" ht="20" customHeight="1"/>
    <row r="379" ht="20" customHeight="1"/>
    <row r="380" ht="20" customHeight="1"/>
    <row r="381" ht="20" customHeight="1"/>
    <row r="382" ht="20" customHeight="1"/>
    <row r="383" ht="20" customHeight="1"/>
    <row r="384" ht="20" customHeight="1"/>
    <row r="385" ht="20" customHeight="1"/>
    <row r="386" ht="20" customHeight="1"/>
    <row r="387" ht="20" customHeight="1"/>
    <row r="388" ht="20" customHeight="1"/>
    <row r="389" ht="20" customHeight="1"/>
    <row r="390" ht="20" customHeight="1"/>
    <row r="391" ht="20" customHeight="1"/>
    <row r="392" ht="20" customHeight="1"/>
    <row r="393" ht="20" customHeight="1"/>
    <row r="394" ht="20" customHeight="1"/>
    <row r="395" ht="20" customHeight="1"/>
    <row r="396" ht="20" customHeight="1"/>
    <row r="397" ht="20" customHeight="1"/>
    <row r="398" ht="20" customHeight="1"/>
    <row r="399" ht="20" customHeight="1"/>
    <row r="400" ht="20" customHeight="1"/>
    <row r="401" ht="20" customHeight="1"/>
    <row r="402" ht="20" customHeight="1"/>
    <row r="403" ht="20" customHeight="1"/>
    <row r="404" ht="20" customHeight="1"/>
    <row r="405" ht="20" customHeight="1"/>
    <row r="406" ht="20" customHeight="1"/>
    <row r="407" ht="20" customHeight="1"/>
    <row r="408" ht="20" customHeight="1"/>
    <row r="409" ht="20" customHeight="1"/>
    <row r="410" ht="20" customHeight="1"/>
    <row r="411" ht="20" customHeight="1"/>
    <row r="412" ht="20" customHeight="1"/>
    <row r="413" ht="20" customHeight="1"/>
    <row r="414" ht="20" customHeight="1"/>
    <row r="415" ht="20" customHeight="1"/>
    <row r="416" ht="20" customHeight="1"/>
    <row r="417" ht="20" customHeight="1"/>
    <row r="418" ht="20" customHeight="1"/>
    <row r="419" ht="20" customHeight="1"/>
    <row r="420" ht="20" customHeight="1"/>
    <row r="421" ht="20" customHeight="1"/>
    <row r="422" ht="20" customHeight="1"/>
    <row r="423" ht="20" customHeight="1"/>
    <row r="424" ht="20" customHeight="1"/>
    <row r="425" ht="20" customHeight="1"/>
    <row r="426" ht="20" customHeight="1"/>
    <row r="427" ht="20" customHeight="1"/>
    <row r="428" ht="20" customHeight="1"/>
    <row r="429" ht="20" customHeight="1"/>
    <row r="430" ht="20" customHeight="1"/>
    <row r="431" ht="20" customHeight="1"/>
    <row r="432" ht="20" customHeight="1"/>
    <row r="433" ht="20" customHeight="1"/>
    <row r="434" ht="20" customHeight="1"/>
    <row r="435" ht="20" customHeight="1"/>
    <row r="436" ht="20" customHeight="1"/>
    <row r="437" ht="20" customHeight="1"/>
    <row r="438" ht="20" customHeight="1"/>
    <row r="439" ht="20" customHeight="1"/>
    <row r="440" ht="20" customHeight="1"/>
    <row r="441" ht="20" customHeight="1"/>
    <row r="442" ht="20" customHeight="1"/>
    <row r="443" ht="20" customHeight="1"/>
    <row r="444" ht="20" customHeight="1"/>
    <row r="445" ht="20" customHeight="1"/>
    <row r="446" ht="20" customHeight="1"/>
    <row r="447" ht="20" customHeight="1"/>
    <row r="448" ht="20" customHeight="1"/>
    <row r="449" ht="20" customHeight="1"/>
    <row r="450" ht="20" customHeight="1"/>
    <row r="451" ht="20" customHeight="1"/>
    <row r="452" ht="20" customHeight="1"/>
    <row r="453" ht="20" customHeight="1"/>
    <row r="454" ht="20" customHeight="1"/>
    <row r="455" ht="20" customHeight="1"/>
    <row r="456" ht="20" customHeight="1"/>
    <row r="457" ht="20" customHeight="1"/>
    <row r="458" ht="20" customHeight="1"/>
    <row r="459" ht="20" customHeight="1"/>
    <row r="460" ht="20" customHeight="1"/>
    <row r="461" ht="20" customHeight="1"/>
    <row r="462" ht="20" customHeight="1"/>
    <row r="463" ht="20" customHeight="1"/>
    <row r="464" ht="20" customHeight="1"/>
    <row r="465" ht="20" customHeight="1"/>
    <row r="466" ht="20" customHeight="1"/>
    <row r="467" ht="20" customHeight="1"/>
    <row r="468" ht="20" customHeight="1"/>
    <row r="469" ht="20" customHeight="1"/>
    <row r="470" ht="20" customHeight="1"/>
    <row r="471" ht="20" customHeight="1"/>
    <row r="472" ht="20" customHeight="1"/>
    <row r="473" ht="20" customHeight="1"/>
    <row r="474" ht="20" customHeight="1"/>
    <row r="475" ht="20" customHeight="1"/>
    <row r="476" ht="20" customHeight="1"/>
    <row r="477" ht="20" customHeight="1"/>
    <row r="478" ht="20" customHeight="1"/>
    <row r="479" ht="20" customHeight="1"/>
    <row r="480" ht="20" customHeight="1"/>
    <row r="481" ht="20" customHeight="1"/>
    <row r="482" ht="20" customHeight="1"/>
    <row r="483" ht="20" customHeight="1"/>
    <row r="484" ht="20" customHeight="1"/>
    <row r="485" ht="20" customHeight="1"/>
    <row r="486" ht="20" customHeight="1"/>
    <row r="487" ht="20" customHeight="1"/>
    <row r="488" ht="20" customHeight="1"/>
    <row r="489" ht="20" customHeight="1"/>
    <row r="490" ht="20" customHeight="1"/>
    <row r="491" ht="20" customHeight="1"/>
    <row r="492" ht="20" customHeight="1"/>
    <row r="493" ht="20" customHeight="1"/>
    <row r="494" ht="20" customHeight="1"/>
    <row r="495" ht="20" customHeight="1"/>
    <row r="496" ht="20" customHeight="1"/>
    <row r="497" ht="20" customHeight="1"/>
    <row r="498" ht="20" customHeight="1"/>
    <row r="499" ht="20" customHeight="1"/>
    <row r="500" ht="20" customHeight="1"/>
    <row r="501" ht="20" customHeight="1"/>
    <row r="502" ht="20" customHeight="1"/>
    <row r="503" ht="20" customHeight="1"/>
    <row r="504" ht="20" customHeight="1"/>
    <row r="505" ht="20" customHeight="1"/>
    <row r="506" ht="20" customHeight="1"/>
    <row r="507" ht="20" customHeight="1"/>
    <row r="508" ht="20" customHeight="1"/>
    <row r="509" ht="20" customHeight="1"/>
    <row r="510" ht="20" customHeight="1"/>
    <row r="511" ht="20" customHeight="1"/>
    <row r="512" ht="20" customHeight="1"/>
    <row r="513" ht="20" customHeight="1"/>
    <row r="514" ht="20" customHeight="1"/>
    <row r="515" ht="20" customHeight="1"/>
    <row r="516" ht="20" customHeight="1"/>
    <row r="517" ht="20" customHeight="1"/>
    <row r="518" ht="20" customHeight="1"/>
    <row r="519" ht="20" customHeight="1"/>
    <row r="520" ht="20" customHeight="1"/>
    <row r="521" ht="20" customHeight="1"/>
    <row r="522" ht="20" customHeight="1"/>
    <row r="523" ht="20" customHeight="1"/>
    <row r="524" ht="20" customHeight="1"/>
    <row r="525" ht="20" customHeight="1"/>
  </sheetData>
  <mergeCells count="122">
    <mergeCell ref="A13:B13"/>
    <mergeCell ref="BW46:BW50"/>
    <mergeCell ref="BX46:BX50"/>
    <mergeCell ref="CC46:CC50"/>
    <mergeCell ref="CD46:CD50"/>
    <mergeCell ref="BW36:BW40"/>
    <mergeCell ref="BX36:BX40"/>
    <mergeCell ref="CC36:CC40"/>
    <mergeCell ref="CD36:CD40"/>
    <mergeCell ref="BW41:BW45"/>
    <mergeCell ref="BX41:BX45"/>
    <mergeCell ref="CC41:CC45"/>
    <mergeCell ref="CD41:CD45"/>
    <mergeCell ref="BW26:BW30"/>
    <mergeCell ref="BX26:BX30"/>
    <mergeCell ref="CC26:CC30"/>
    <mergeCell ref="CD26:CD30"/>
    <mergeCell ref="BW31:BW35"/>
    <mergeCell ref="BX31:BX35"/>
    <mergeCell ref="CC31:CC35"/>
    <mergeCell ref="CD31:CD35"/>
    <mergeCell ref="BW16:BW20"/>
    <mergeCell ref="BX16:BX20"/>
    <mergeCell ref="CC16:CC20"/>
    <mergeCell ref="CD16:CD20"/>
    <mergeCell ref="BW21:BW25"/>
    <mergeCell ref="BX21:BX25"/>
    <mergeCell ref="CC21:CC25"/>
    <mergeCell ref="CD21:CD25"/>
    <mergeCell ref="BW5:BW9"/>
    <mergeCell ref="BX5:BX9"/>
    <mergeCell ref="CC5:CC9"/>
    <mergeCell ref="CD5:CD9"/>
    <mergeCell ref="BW10:BW14"/>
    <mergeCell ref="BX10:BX14"/>
    <mergeCell ref="CC10:CC14"/>
    <mergeCell ref="CD10:CD14"/>
    <mergeCell ref="BG2:BH2"/>
    <mergeCell ref="BJ2:BR2"/>
    <mergeCell ref="BT2:CH2"/>
    <mergeCell ref="BK4:BL4"/>
    <mergeCell ref="BY4:CB4"/>
    <mergeCell ref="CE4:CH4"/>
    <mergeCell ref="BA46:BA50"/>
    <mergeCell ref="AQ2:BE2"/>
    <mergeCell ref="AG2:AO2"/>
    <mergeCell ref="BB4:BE4"/>
    <mergeCell ref="AT5:AT9"/>
    <mergeCell ref="AT10:AT14"/>
    <mergeCell ref="AT16:AT20"/>
    <mergeCell ref="AT21:AT25"/>
    <mergeCell ref="AU5:AU9"/>
    <mergeCell ref="AU10:AU14"/>
    <mergeCell ref="AU16:AU20"/>
    <mergeCell ref="AU21:AU25"/>
    <mergeCell ref="AZ5:AZ9"/>
    <mergeCell ref="BA5:BA9"/>
    <mergeCell ref="AT31:AT35"/>
    <mergeCell ref="AT36:AT40"/>
    <mergeCell ref="AT41:AT45"/>
    <mergeCell ref="AT46:AT50"/>
    <mergeCell ref="AU36:AU40"/>
    <mergeCell ref="AU41:AU45"/>
    <mergeCell ref="AU46:AU50"/>
    <mergeCell ref="AZ31:AZ35"/>
    <mergeCell ref="AZ26:AZ30"/>
    <mergeCell ref="AZ46:AZ50"/>
    <mergeCell ref="AZ36:AZ40"/>
    <mergeCell ref="BA36:BA40"/>
    <mergeCell ref="AZ41:AZ45"/>
    <mergeCell ref="BA41:BA45"/>
    <mergeCell ref="BA26:BA30"/>
    <mergeCell ref="BA10:BA14"/>
    <mergeCell ref="AZ16:AZ20"/>
    <mergeCell ref="BA16:BA20"/>
    <mergeCell ref="AZ21:AZ25"/>
    <mergeCell ref="AV4:AY4"/>
    <mergeCell ref="BA21:BA25"/>
    <mergeCell ref="AT26:AT30"/>
    <mergeCell ref="AZ10:AZ14"/>
    <mergeCell ref="AU31:AU35"/>
    <mergeCell ref="BA31:BA35"/>
    <mergeCell ref="AH4:AI4"/>
    <mergeCell ref="AD2:AE2"/>
    <mergeCell ref="U2:AB2"/>
    <mergeCell ref="AU26:AU30"/>
    <mergeCell ref="R3:S3"/>
    <mergeCell ref="R7:S7"/>
    <mergeCell ref="N5:O5"/>
    <mergeCell ref="R20:S20"/>
    <mergeCell ref="R24:S24"/>
    <mergeCell ref="R28:S28"/>
    <mergeCell ref="P5:P6"/>
    <mergeCell ref="Q5:Q6"/>
    <mergeCell ref="D17:Q17"/>
    <mergeCell ref="D2:I2"/>
    <mergeCell ref="K2:Q2"/>
    <mergeCell ref="R11:S11"/>
    <mergeCell ref="J5:J6"/>
    <mergeCell ref="F32:G36"/>
    <mergeCell ref="R17:S17"/>
    <mergeCell ref="D1:Q1"/>
    <mergeCell ref="F37:G41"/>
    <mergeCell ref="F42:G46"/>
    <mergeCell ref="F47:G51"/>
    <mergeCell ref="D19:F19"/>
    <mergeCell ref="F21:G21"/>
    <mergeCell ref="F22:G26"/>
    <mergeCell ref="F27:G31"/>
    <mergeCell ref="L3:M3"/>
    <mergeCell ref="I5:I6"/>
    <mergeCell ref="K5:K6"/>
    <mergeCell ref="L5:L6"/>
    <mergeCell ref="M5:M6"/>
    <mergeCell ref="E9:F9"/>
    <mergeCell ref="E8:F8"/>
    <mergeCell ref="E4:F4"/>
    <mergeCell ref="E5:F5"/>
    <mergeCell ref="E6:F6"/>
    <mergeCell ref="E7:F7"/>
    <mergeCell ref="E10:F10"/>
    <mergeCell ref="E11:F11"/>
  </mergeCells>
  <conditionalFormatting sqref="I11:J11">
    <cfRule type="expression" dxfId="74" priority="185">
      <formula>$N$3=5</formula>
    </cfRule>
  </conditionalFormatting>
  <conditionalFormatting sqref="K11:K12">
    <cfRule type="expression" dxfId="73" priority="187">
      <formula>$N$3=6</formula>
    </cfRule>
  </conditionalFormatting>
  <conditionalFormatting sqref="I11:J12">
    <cfRule type="expression" dxfId="72" priority="188">
      <formula>$N$3=6</formula>
    </cfRule>
  </conditionalFormatting>
  <conditionalFormatting sqref="K11">
    <cfRule type="expression" dxfId="71" priority="189">
      <formula>$N$3=5</formula>
    </cfRule>
  </conditionalFormatting>
  <conditionalFormatting sqref="F42:G46 L42:L46">
    <cfRule type="expression" dxfId="70" priority="190">
      <formula>$N$3=5</formula>
    </cfRule>
    <cfRule type="expression" dxfId="69" priority="191">
      <formula>$N$3=5</formula>
    </cfRule>
    <cfRule type="expression" dxfId="68" priority="192">
      <formula>$N$3=5</formula>
    </cfRule>
  </conditionalFormatting>
  <conditionalFormatting sqref="L42:L46">
    <cfRule type="expression" dxfId="67" priority="193">
      <formula>$N$3=5</formula>
    </cfRule>
  </conditionalFormatting>
  <conditionalFormatting sqref="F42:G51 L42:L51">
    <cfRule type="expression" dxfId="66" priority="194">
      <formula>$N$3=6</formula>
    </cfRule>
    <cfRule type="expression" dxfId="65" priority="195">
      <formula>$N$3=6</formula>
    </cfRule>
  </conditionalFormatting>
  <conditionalFormatting sqref="L42:L51">
    <cfRule type="expression" dxfId="64" priority="196">
      <formula>$N$3=6</formula>
    </cfRule>
  </conditionalFormatting>
  <conditionalFormatting sqref="F42:G46">
    <cfRule type="expression" dxfId="63" priority="197">
      <formula>$N$3=5</formula>
    </cfRule>
  </conditionalFormatting>
  <conditionalFormatting sqref="M22:M51">
    <cfRule type="expression" dxfId="62" priority="134">
      <formula>$H$19=2</formula>
    </cfRule>
  </conditionalFormatting>
  <conditionalFormatting sqref="M21">
    <cfRule type="expression" dxfId="61" priority="133">
      <formula>$H$19=2</formula>
    </cfRule>
  </conditionalFormatting>
  <conditionalFormatting sqref="M42:M51">
    <cfRule type="expression" dxfId="60" priority="128">
      <formula>$H$19=1</formula>
    </cfRule>
    <cfRule type="expression" dxfId="59" priority="129">
      <formula>$N$3=6</formula>
    </cfRule>
  </conditionalFormatting>
  <conditionalFormatting sqref="I22:J22 I26:I27 I31:I32 I36:I37 I41 J23:J51">
    <cfRule type="expression" dxfId="58" priority="127">
      <formula>$I$22=$N$7</formula>
    </cfRule>
  </conditionalFormatting>
  <conditionalFormatting sqref="H22">
    <cfRule type="expression" dxfId="57" priority="87">
      <formula>I22=N7</formula>
    </cfRule>
  </conditionalFormatting>
  <conditionalFormatting sqref="F42:I42 F46:I47 F43:H45 F51:I51 F48:H50 L42:L51">
    <cfRule type="expression" dxfId="56" priority="68">
      <formula>"J4=4"</formula>
    </cfRule>
  </conditionalFormatting>
  <conditionalFormatting sqref="H42:I42 H46:I47 H43:H45 H51:I51 H48:H50">
    <cfRule type="expression" dxfId="55" priority="67">
      <formula>$N$3=4</formula>
    </cfRule>
  </conditionalFormatting>
  <conditionalFormatting sqref="H47:H51">
    <cfRule type="expression" dxfId="54" priority="66">
      <formula>$N$3=5</formula>
    </cfRule>
  </conditionalFormatting>
  <conditionalFormatting sqref="I13:J13">
    <cfRule type="expression" priority="202">
      <formula>$E$48</formula>
    </cfRule>
  </conditionalFormatting>
  <conditionalFormatting sqref="I42">
    <cfRule type="expression" dxfId="53" priority="46">
      <formula>N3=6</formula>
    </cfRule>
    <cfRule type="expression" dxfId="52" priority="52">
      <formula>N3=5</formula>
    </cfRule>
    <cfRule type="expression" dxfId="51" priority="54">
      <formula>L3=4</formula>
    </cfRule>
  </conditionalFormatting>
  <conditionalFormatting sqref="I46">
    <cfRule type="expression" dxfId="50" priority="42">
      <formula>N3=6</formula>
    </cfRule>
    <cfRule type="expression" dxfId="49" priority="47">
      <formula>N3=5</formula>
    </cfRule>
  </conditionalFormatting>
  <conditionalFormatting sqref="I47">
    <cfRule type="expression" dxfId="48" priority="41">
      <formula>N3=6</formula>
    </cfRule>
  </conditionalFormatting>
  <conditionalFormatting sqref="I51">
    <cfRule type="expression" dxfId="47" priority="37">
      <formula>N3=6</formula>
    </cfRule>
  </conditionalFormatting>
  <conditionalFormatting sqref="M42:M46">
    <cfRule type="expression" dxfId="46" priority="205">
      <formula>$N$3=5</formula>
    </cfRule>
    <cfRule type="expression" dxfId="45" priority="206">
      <formula>$G$8=5</formula>
    </cfRule>
  </conditionalFormatting>
  <conditionalFormatting sqref="H23:H25">
    <cfRule type="expression" dxfId="44" priority="229">
      <formula>I23=M7</formula>
    </cfRule>
  </conditionalFormatting>
  <conditionalFormatting sqref="H24">
    <cfRule type="expression" dxfId="43" priority="232">
      <formula>I24=M7</formula>
    </cfRule>
  </conditionalFormatting>
  <conditionalFormatting sqref="H25">
    <cfRule type="expression" dxfId="42" priority="235">
      <formula>I25=M7</formula>
    </cfRule>
  </conditionalFormatting>
  <conditionalFormatting sqref="H29">
    <cfRule type="expression" dxfId="41" priority="238">
      <formula>I29=M8</formula>
    </cfRule>
  </conditionalFormatting>
  <conditionalFormatting sqref="H30">
    <cfRule type="expression" dxfId="40" priority="239">
      <formula>I30=M8</formula>
    </cfRule>
  </conditionalFormatting>
  <conditionalFormatting sqref="H28:H30">
    <cfRule type="expression" dxfId="39" priority="248">
      <formula>I28=M8</formula>
    </cfRule>
  </conditionalFormatting>
  <conditionalFormatting sqref="H34">
    <cfRule type="expression" dxfId="38" priority="251">
      <formula>I34=M9</formula>
    </cfRule>
  </conditionalFormatting>
  <conditionalFormatting sqref="H35">
    <cfRule type="expression" dxfId="37" priority="252">
      <formula>I35=M9</formula>
    </cfRule>
  </conditionalFormatting>
  <conditionalFormatting sqref="H33:H35">
    <cfRule type="expression" dxfId="36" priority="259">
      <formula>I33=M9</formula>
    </cfRule>
  </conditionalFormatting>
  <conditionalFormatting sqref="H39">
    <cfRule type="expression" dxfId="35" priority="262">
      <formula>I39=M10</formula>
    </cfRule>
  </conditionalFormatting>
  <conditionalFormatting sqref="H40">
    <cfRule type="expression" dxfId="34" priority="263">
      <formula>I40=M10</formula>
    </cfRule>
  </conditionalFormatting>
  <conditionalFormatting sqref="H38:H40">
    <cfRule type="expression" dxfId="33" priority="268">
      <formula>I38=M10</formula>
    </cfRule>
  </conditionalFormatting>
  <conditionalFormatting sqref="H44">
    <cfRule type="expression" dxfId="32" priority="269">
      <formula>I44=M11</formula>
    </cfRule>
  </conditionalFormatting>
  <conditionalFormatting sqref="H45">
    <cfRule type="expression" dxfId="31" priority="270">
      <formula>I45=M11</formula>
    </cfRule>
  </conditionalFormatting>
  <conditionalFormatting sqref="H43:H45">
    <cfRule type="expression" dxfId="30" priority="273">
      <formula>I43=M11</formula>
    </cfRule>
  </conditionalFormatting>
  <conditionalFormatting sqref="H49">
    <cfRule type="expression" dxfId="29" priority="274">
      <formula>I49=M12</formula>
    </cfRule>
  </conditionalFormatting>
  <conditionalFormatting sqref="H50">
    <cfRule type="expression" dxfId="28" priority="275">
      <formula>I50=M12</formula>
    </cfRule>
  </conditionalFormatting>
  <conditionalFormatting sqref="H48:H50">
    <cfRule type="expression" dxfId="27" priority="276">
      <formula>I48=M12</formula>
    </cfRule>
  </conditionalFormatting>
  <conditionalFormatting sqref="I44">
    <cfRule type="expression" dxfId="26" priority="36">
      <formula>$N$3=4</formula>
    </cfRule>
  </conditionalFormatting>
  <conditionalFormatting sqref="I49">
    <cfRule type="expression" dxfId="25" priority="34">
      <formula>$N$3=5</formula>
    </cfRule>
    <cfRule type="expression" dxfId="24" priority="35">
      <formula>$N$3=4</formula>
    </cfRule>
  </conditionalFormatting>
  <conditionalFormatting sqref="I43">
    <cfRule type="expression" dxfId="23" priority="33">
      <formula>$N$3=4</formula>
    </cfRule>
  </conditionalFormatting>
  <conditionalFormatting sqref="I45">
    <cfRule type="expression" dxfId="22" priority="32">
      <formula>$N$3=4</formula>
    </cfRule>
  </conditionalFormatting>
  <conditionalFormatting sqref="I48">
    <cfRule type="expression" dxfId="21" priority="25">
      <formula>$N$3=5</formula>
    </cfRule>
    <cfRule type="expression" dxfId="20" priority="31">
      <formula>$N$3=4</formula>
    </cfRule>
  </conditionalFormatting>
  <conditionalFormatting sqref="I50">
    <cfRule type="expression" dxfId="19" priority="24">
      <formula>$N$3=5</formula>
    </cfRule>
    <cfRule type="expression" dxfId="18" priority="30">
      <formula>$N$3=4</formula>
    </cfRule>
  </conditionalFormatting>
  <conditionalFormatting sqref="P11:Q11">
    <cfRule type="expression" dxfId="17" priority="7">
      <formula>$H$15=1</formula>
    </cfRule>
    <cfRule type="expression" dxfId="16" priority="14">
      <formula>$N$3=6</formula>
    </cfRule>
    <cfRule type="expression" dxfId="15" priority="16">
      <formula>$N$3=5</formula>
    </cfRule>
  </conditionalFormatting>
  <conditionalFormatting sqref="P12:Q12">
    <cfRule type="expression" dxfId="14" priority="6">
      <formula>$H$15=1</formula>
    </cfRule>
    <cfRule type="expression" dxfId="13" priority="15">
      <formula>$N$3=6</formula>
    </cfRule>
  </conditionalFormatting>
  <conditionalFormatting sqref="J42:J51">
    <cfRule type="expression" dxfId="12" priority="12">
      <formula>$N$3=4</formula>
    </cfRule>
  </conditionalFormatting>
  <conditionalFormatting sqref="J47:J51">
    <cfRule type="expression" dxfId="11" priority="11">
      <formula>$N$3=5</formula>
    </cfRule>
  </conditionalFormatting>
  <conditionalFormatting sqref="L21:L51">
    <cfRule type="expression" dxfId="10" priority="10">
      <formula>$H$13=1</formula>
    </cfRule>
  </conditionalFormatting>
  <conditionalFormatting sqref="L21">
    <cfRule type="expression" dxfId="9" priority="9">
      <formula>$H$13=1</formula>
    </cfRule>
  </conditionalFormatting>
  <conditionalFormatting sqref="P5:Q10">
    <cfRule type="expression" dxfId="8" priority="287">
      <formula>$H$15=2</formula>
    </cfRule>
  </conditionalFormatting>
  <conditionalFormatting sqref="P7:Q10">
    <cfRule type="expression" dxfId="7" priority="288">
      <formula>$H$15=2</formula>
    </cfRule>
  </conditionalFormatting>
  <conditionalFormatting sqref="P11:Q12">
    <cfRule type="expression" dxfId="6" priority="289">
      <formula>$H$15=1</formula>
    </cfRule>
    <cfRule type="expression" dxfId="5" priority="290">
      <formula>$H$15=1</formula>
    </cfRule>
  </conditionalFormatting>
  <conditionalFormatting sqref="M11:O11">
    <cfRule type="expression" dxfId="4" priority="4">
      <formula>$N$3=5</formula>
    </cfRule>
  </conditionalFormatting>
  <conditionalFormatting sqref="M11:O12">
    <cfRule type="expression" dxfId="3" priority="5">
      <formula>$N$3=6</formula>
    </cfRule>
  </conditionalFormatting>
  <conditionalFormatting sqref="N12">
    <cfRule type="expression" dxfId="2" priority="1">
      <formula>$N$3=4</formula>
    </cfRule>
    <cfRule type="expression" dxfId="1" priority="3">
      <formula>$N$3=5</formula>
    </cfRule>
  </conditionalFormatting>
  <conditionalFormatting sqref="N11">
    <cfRule type="expression" dxfId="0" priority="2">
      <formula>$N$3=4</formula>
    </cfRule>
  </conditionalFormatting>
  <dataValidations count="4">
    <dataValidation type="list" allowBlank="1" showInputMessage="1" showErrorMessage="1" sqref="G19">
      <formula1>$R$4:$R$5</formula1>
    </dataValidation>
    <dataValidation type="list" allowBlank="1" showInputMessage="1" showErrorMessage="1" sqref="N3">
      <formula1>$S$8:$S$10</formula1>
    </dataValidation>
    <dataValidation type="decimal" errorStyle="warning" allowBlank="1" showInputMessage="1" showErrorMessage="1" errorTitle="Out of range" error="Review NDF level" sqref="L32:L51">
      <formula1>6</formula1>
      <formula2>30</formula2>
    </dataValidation>
    <dataValidation errorStyle="warning" allowBlank="1" showInputMessage="1" showErrorMessage="1" errorTitle="Min and Max energy level warning" error="Please ensure your MIN and MAX NE (Kcal/lb) is correct. " sqref="P7:Q12"/>
  </dataValidations>
  <pageMargins left="0.7" right="0.7" top="0.75" bottom="0.75" header="0.3" footer="0.3"/>
  <pageSetup scale="35" orientation="portrait"/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525"/>
  <sheetViews>
    <sheetView showGridLines="0" topLeftCell="D1" zoomScale="70" zoomScaleNormal="70" zoomScaleSheetLayoutView="70" zoomScalePageLayoutView="70" workbookViewId="0">
      <selection activeCell="CN1" sqref="CN1"/>
    </sheetView>
  </sheetViews>
  <sheetFormatPr baseColWidth="10" defaultColWidth="8.83203125" defaultRowHeight="17" x14ac:dyDescent="0"/>
  <cols>
    <col min="1" max="1" width="10.6640625" style="235" hidden="1" customWidth="1"/>
    <col min="2" max="2" width="10.6640625" style="3" hidden="1" customWidth="1"/>
    <col min="3" max="3" width="10.6640625" style="238" hidden="1" customWidth="1"/>
    <col min="4" max="4" width="10.6640625" style="100" customWidth="1"/>
    <col min="5" max="6" width="25.6640625" customWidth="1"/>
    <col min="7" max="7" width="18.6640625" customWidth="1"/>
    <col min="8" max="8" width="22.6640625" customWidth="1"/>
    <col min="9" max="9" width="18.33203125" style="112" hidden="1" customWidth="1"/>
    <col min="10" max="10" width="18.33203125" style="112" customWidth="1"/>
    <col min="11" max="13" width="17.6640625" customWidth="1"/>
    <col min="14" max="14" width="17.6640625" style="90" customWidth="1"/>
    <col min="15" max="17" width="17.6640625" customWidth="1"/>
    <col min="18" max="25" width="20.6640625" hidden="1" customWidth="1"/>
    <col min="26" max="26" width="20.6640625" style="25" hidden="1" customWidth="1"/>
    <col min="27" max="27" width="20.6640625" style="85" hidden="1" customWidth="1"/>
    <col min="28" max="32" width="20.6640625" hidden="1" customWidth="1"/>
    <col min="33" max="35" width="20.6640625" style="15" hidden="1" customWidth="1"/>
    <col min="36" max="40" width="20.6640625" style="5" hidden="1" customWidth="1"/>
    <col min="41" max="41" width="20.6640625" style="17" hidden="1" customWidth="1"/>
    <col min="42" max="43" width="15.6640625" style="17" hidden="1" customWidth="1"/>
    <col min="44" max="44" width="15.6640625" hidden="1" customWidth="1"/>
    <col min="45" max="45" width="3.1640625" hidden="1" customWidth="1"/>
    <col min="46" max="57" width="15.6640625" style="17" hidden="1" customWidth="1"/>
    <col min="58" max="58" width="8.83203125" hidden="1" customWidth="1"/>
    <col min="59" max="60" width="12.6640625" hidden="1" customWidth="1"/>
    <col min="61" max="61" width="8.83203125" hidden="1" customWidth="1"/>
    <col min="62" max="70" width="18.6640625" hidden="1" customWidth="1"/>
    <col min="71" max="72" width="8.83203125" hidden="1" customWidth="1"/>
    <col min="73" max="73" width="8.83203125" style="65" hidden="1" customWidth="1"/>
    <col min="74" max="74" width="8.83203125" hidden="1" customWidth="1"/>
    <col min="75" max="86" width="15.6640625" hidden="1" customWidth="1"/>
  </cols>
  <sheetData>
    <row r="1" spans="1:86" ht="35.5" customHeight="1">
      <c r="D1" s="423" t="s">
        <v>300</v>
      </c>
      <c r="E1" s="424"/>
      <c r="F1" s="424"/>
      <c r="G1" s="424"/>
      <c r="H1" s="424"/>
      <c r="I1" s="424"/>
      <c r="J1" s="424"/>
      <c r="K1" s="424"/>
      <c r="L1" s="424"/>
      <c r="M1" s="424"/>
      <c r="N1" s="424"/>
      <c r="O1" s="424"/>
      <c r="P1" s="424"/>
      <c r="Q1" s="425"/>
    </row>
    <row r="2" spans="1:86" ht="20" customHeight="1" thickBot="1">
      <c r="D2" s="426" t="s">
        <v>46</v>
      </c>
      <c r="E2" s="427"/>
      <c r="F2" s="427"/>
      <c r="G2" s="427"/>
      <c r="H2" s="427"/>
      <c r="I2" s="427"/>
      <c r="J2" s="367"/>
      <c r="K2" s="427" t="s">
        <v>124</v>
      </c>
      <c r="L2" s="427"/>
      <c r="M2" s="427"/>
      <c r="N2" s="427"/>
      <c r="O2" s="427"/>
      <c r="P2" s="427"/>
      <c r="Q2" s="428"/>
      <c r="U2" s="405" t="s">
        <v>51</v>
      </c>
      <c r="V2" s="405"/>
      <c r="W2" s="405"/>
      <c r="X2" s="405"/>
      <c r="Y2" s="405"/>
      <c r="Z2" s="405"/>
      <c r="AA2" s="405"/>
      <c r="AB2" s="405"/>
      <c r="AD2" s="405" t="s">
        <v>74</v>
      </c>
      <c r="AE2" s="405"/>
      <c r="AF2" s="23"/>
      <c r="AG2" s="405" t="s">
        <v>150</v>
      </c>
      <c r="AH2" s="405"/>
      <c r="AI2" s="405"/>
      <c r="AJ2" s="405"/>
      <c r="AK2" s="405"/>
      <c r="AL2" s="405"/>
      <c r="AM2" s="405"/>
      <c r="AN2" s="405"/>
      <c r="AO2" s="405"/>
      <c r="AP2" s="368"/>
      <c r="AQ2" s="405" t="s">
        <v>151</v>
      </c>
      <c r="AR2" s="405"/>
      <c r="AS2" s="405"/>
      <c r="AT2" s="405"/>
      <c r="AU2" s="405"/>
      <c r="AV2" s="405"/>
      <c r="AW2" s="405"/>
      <c r="AX2" s="405"/>
      <c r="AY2" s="405"/>
      <c r="AZ2" s="405"/>
      <c r="BA2" s="405"/>
      <c r="BB2" s="405"/>
      <c r="BC2" s="405"/>
      <c r="BD2" s="405"/>
      <c r="BE2" s="405"/>
      <c r="BG2" s="405" t="s">
        <v>74</v>
      </c>
      <c r="BH2" s="405"/>
      <c r="BI2" s="23"/>
      <c r="BJ2" s="405" t="s">
        <v>88</v>
      </c>
      <c r="BK2" s="405"/>
      <c r="BL2" s="405"/>
      <c r="BM2" s="405"/>
      <c r="BN2" s="405"/>
      <c r="BO2" s="405"/>
      <c r="BP2" s="405"/>
      <c r="BQ2" s="405"/>
      <c r="BR2" s="405"/>
      <c r="BS2" s="368"/>
      <c r="BT2" s="405" t="s">
        <v>89</v>
      </c>
      <c r="BU2" s="405"/>
      <c r="BV2" s="405"/>
      <c r="BW2" s="405"/>
      <c r="BX2" s="405"/>
      <c r="BY2" s="405"/>
      <c r="BZ2" s="405"/>
      <c r="CA2" s="405"/>
      <c r="CB2" s="405"/>
      <c r="CC2" s="405"/>
      <c r="CD2" s="405"/>
      <c r="CE2" s="405"/>
      <c r="CF2" s="405"/>
      <c r="CG2" s="405"/>
      <c r="CH2" s="405"/>
    </row>
    <row r="3" spans="1:86" ht="20" customHeight="1">
      <c r="D3" s="112">
        <v>1</v>
      </c>
      <c r="E3" s="372" t="s">
        <v>265</v>
      </c>
      <c r="F3" s="365"/>
      <c r="G3" s="322"/>
      <c r="H3" s="361" t="str">
        <f>IF((AND($H$13=2,$G$4=0,$G$3&gt;0)), "Select Live in cell G13", "")</f>
        <v/>
      </c>
      <c r="I3" s="77"/>
      <c r="J3" s="77"/>
      <c r="K3" s="77"/>
      <c r="L3" s="415" t="s">
        <v>91</v>
      </c>
      <c r="M3" s="416"/>
      <c r="N3" s="329">
        <v>6</v>
      </c>
      <c r="O3" s="77"/>
      <c r="P3" s="77"/>
      <c r="Q3" s="77"/>
      <c r="R3" s="403" t="s">
        <v>50</v>
      </c>
      <c r="S3" s="403"/>
      <c r="U3" s="368"/>
      <c r="V3" s="368"/>
      <c r="W3" s="368"/>
      <c r="X3" s="368"/>
      <c r="Y3" s="368"/>
      <c r="Z3" s="368"/>
      <c r="AA3" s="86"/>
      <c r="AB3" s="368"/>
      <c r="AD3" s="368"/>
      <c r="AE3" s="368"/>
      <c r="AF3" s="76"/>
      <c r="AG3" s="368"/>
      <c r="AH3" s="368"/>
      <c r="AI3" s="368"/>
      <c r="AJ3" s="368"/>
      <c r="AK3" s="368"/>
      <c r="AL3" s="368"/>
      <c r="AM3" s="368"/>
      <c r="AN3" s="368"/>
      <c r="AO3" s="368"/>
      <c r="AP3" s="368"/>
      <c r="AQ3" s="66"/>
      <c r="AR3" s="66"/>
      <c r="AS3" s="362"/>
      <c r="AT3" s="362"/>
      <c r="AU3" s="362"/>
      <c r="AV3" s="362"/>
      <c r="AW3" s="362"/>
      <c r="AX3" s="362"/>
      <c r="AY3" s="362"/>
      <c r="AZ3" s="362"/>
      <c r="BA3" s="362"/>
      <c r="BB3" s="362"/>
      <c r="BC3" s="362"/>
      <c r="BD3" s="362"/>
      <c r="BE3" s="362"/>
      <c r="BG3" s="368"/>
      <c r="BH3" s="368"/>
      <c r="BI3" s="76"/>
      <c r="BJ3" s="368"/>
      <c r="BK3" s="368"/>
      <c r="BL3" s="368"/>
      <c r="BM3" s="368"/>
      <c r="BN3" s="368"/>
      <c r="BO3" s="368"/>
      <c r="BP3" s="368"/>
      <c r="BQ3" s="368"/>
      <c r="BR3" s="368"/>
      <c r="BS3" s="368"/>
      <c r="BT3" s="66"/>
      <c r="BU3" s="362"/>
      <c r="BV3" s="362"/>
      <c r="BW3" s="362"/>
      <c r="BX3" s="362"/>
      <c r="BY3" s="362"/>
      <c r="BZ3" s="362"/>
      <c r="CA3" s="362"/>
      <c r="CB3" s="362"/>
      <c r="CC3" s="362"/>
      <c r="CD3" s="362"/>
      <c r="CE3" s="362"/>
      <c r="CF3" s="362"/>
      <c r="CG3" s="362"/>
      <c r="CH3" s="362"/>
    </row>
    <row r="4" spans="1:86" ht="20" customHeight="1">
      <c r="D4" s="112">
        <v>2</v>
      </c>
      <c r="E4" s="415" t="s">
        <v>266</v>
      </c>
      <c r="F4" s="416"/>
      <c r="G4" s="323"/>
      <c r="H4" s="361" t="str">
        <f>IF((AND($H$13=1,$G$3=0,$G$4&gt;0)), "Select Carcass in cell G13", "")</f>
        <v/>
      </c>
      <c r="R4" s="21" t="s">
        <v>48</v>
      </c>
      <c r="S4" s="21">
        <v>1</v>
      </c>
      <c r="U4" s="19" t="s">
        <v>4</v>
      </c>
      <c r="V4" s="19" t="s">
        <v>52</v>
      </c>
      <c r="W4" s="19" t="s">
        <v>95</v>
      </c>
      <c r="X4" s="19" t="s">
        <v>54</v>
      </c>
      <c r="Y4" s="19" t="s">
        <v>56</v>
      </c>
      <c r="Z4" s="26" t="s">
        <v>57</v>
      </c>
      <c r="AA4" s="87" t="s">
        <v>53</v>
      </c>
      <c r="AB4" s="19" t="s">
        <v>55</v>
      </c>
      <c r="AD4" s="369" t="s">
        <v>10</v>
      </c>
      <c r="AE4" s="369" t="s">
        <v>2</v>
      </c>
      <c r="AF4" s="19"/>
      <c r="AG4" s="362" t="s">
        <v>4</v>
      </c>
      <c r="AH4" s="405" t="s">
        <v>52</v>
      </c>
      <c r="AI4" s="405"/>
      <c r="AJ4" s="362" t="s">
        <v>32</v>
      </c>
      <c r="AK4" s="362" t="s">
        <v>60</v>
      </c>
      <c r="AL4" s="362" t="s">
        <v>61</v>
      </c>
      <c r="AM4" s="362" t="s">
        <v>62</v>
      </c>
      <c r="AN4" s="362" t="s">
        <v>31</v>
      </c>
      <c r="AO4" s="362" t="s">
        <v>63</v>
      </c>
      <c r="AP4" s="19"/>
      <c r="AQ4" s="368" t="s">
        <v>54</v>
      </c>
      <c r="AR4" s="368" t="s">
        <v>58</v>
      </c>
      <c r="AS4" s="362"/>
      <c r="AT4" s="362" t="s">
        <v>4</v>
      </c>
      <c r="AU4" s="362" t="s">
        <v>64</v>
      </c>
      <c r="AV4" s="405" t="s">
        <v>73</v>
      </c>
      <c r="AW4" s="405"/>
      <c r="AX4" s="405"/>
      <c r="AY4" s="405"/>
      <c r="AZ4" s="362" t="s">
        <v>4</v>
      </c>
      <c r="BA4" s="362" t="s">
        <v>4</v>
      </c>
      <c r="BB4" s="405" t="s">
        <v>73</v>
      </c>
      <c r="BC4" s="405"/>
      <c r="BD4" s="405"/>
      <c r="BE4" s="405"/>
      <c r="BG4" s="19" t="s">
        <v>54</v>
      </c>
      <c r="BH4" s="19" t="s">
        <v>85</v>
      </c>
      <c r="BI4" s="19"/>
      <c r="BJ4" s="19" t="s">
        <v>4</v>
      </c>
      <c r="BK4" s="422" t="s">
        <v>52</v>
      </c>
      <c r="BL4" s="422"/>
      <c r="BM4" s="19" t="s">
        <v>32</v>
      </c>
      <c r="BN4" s="19" t="s">
        <v>60</v>
      </c>
      <c r="BO4" s="19" t="s">
        <v>61</v>
      </c>
      <c r="BP4" s="19" t="s">
        <v>62</v>
      </c>
      <c r="BQ4" s="19" t="s">
        <v>31</v>
      </c>
      <c r="BR4" s="19" t="s">
        <v>63</v>
      </c>
      <c r="BS4" s="19"/>
      <c r="BT4" s="66" t="s">
        <v>54</v>
      </c>
      <c r="BU4" s="275" t="s">
        <v>87</v>
      </c>
      <c r="BV4" s="369"/>
      <c r="BW4" s="369" t="s">
        <v>4</v>
      </c>
      <c r="BX4" s="369" t="s">
        <v>64</v>
      </c>
      <c r="BY4" s="414" t="s">
        <v>73</v>
      </c>
      <c r="BZ4" s="414"/>
      <c r="CA4" s="414"/>
      <c r="CB4" s="414"/>
      <c r="CC4" s="369" t="s">
        <v>4</v>
      </c>
      <c r="CD4" s="369" t="s">
        <v>4</v>
      </c>
      <c r="CE4" s="414" t="s">
        <v>73</v>
      </c>
      <c r="CF4" s="414"/>
      <c r="CG4" s="414"/>
      <c r="CH4" s="414"/>
    </row>
    <row r="5" spans="1:86" ht="20" customHeight="1" thickBot="1">
      <c r="D5" s="112">
        <v>3</v>
      </c>
      <c r="E5" s="415" t="s">
        <v>267</v>
      </c>
      <c r="F5" s="416"/>
      <c r="G5" s="323"/>
      <c r="H5" s="3"/>
      <c r="I5" s="417"/>
      <c r="J5" s="417" t="s">
        <v>4</v>
      </c>
      <c r="K5" s="417" t="s">
        <v>268</v>
      </c>
      <c r="L5" s="417" t="s">
        <v>269</v>
      </c>
      <c r="M5" s="418" t="s">
        <v>270</v>
      </c>
      <c r="N5" s="420" t="s">
        <v>271</v>
      </c>
      <c r="O5" s="420"/>
      <c r="P5" s="421" t="s">
        <v>80</v>
      </c>
      <c r="Q5" s="421" t="s">
        <v>81</v>
      </c>
      <c r="R5" s="21" t="s">
        <v>49</v>
      </c>
      <c r="S5" s="21">
        <v>2</v>
      </c>
      <c r="U5" s="20">
        <v>1</v>
      </c>
      <c r="V5" s="20">
        <v>1</v>
      </c>
      <c r="W5" s="20">
        <v>1</v>
      </c>
      <c r="X5" s="20">
        <f>SMALL($J$22:$J$26,W5)</f>
        <v>0</v>
      </c>
      <c r="Y5" s="22">
        <f>VLOOKUP(X5,$J$22:$K$26,2,FALSE)</f>
        <v>0</v>
      </c>
      <c r="Z5" s="27">
        <f t="array" ref="Z5:AA5">LINEST(Y5:Y6,X5:X6^{1})</f>
        <v>0</v>
      </c>
      <c r="AA5" s="88">
        <v>0</v>
      </c>
      <c r="AB5" s="22">
        <f>(Z5*X5+AA5)-Y5</f>
        <v>0</v>
      </c>
      <c r="AD5" s="30">
        <f>X5</f>
        <v>0</v>
      </c>
      <c r="AE5" s="31" t="str">
        <f>VLOOKUP(AD5,$J$22:$L$26,3,FALSE)</f>
        <v>-----</v>
      </c>
      <c r="AF5" s="29"/>
      <c r="AG5" s="35"/>
      <c r="AH5" s="35"/>
      <c r="AI5" s="35"/>
      <c r="AJ5" s="210"/>
      <c r="AK5" s="210"/>
      <c r="AL5" s="210"/>
      <c r="AM5" s="210"/>
      <c r="AN5" s="213"/>
      <c r="AO5" s="214"/>
      <c r="AP5" s="41"/>
      <c r="AQ5" s="28">
        <f>X5</f>
        <v>0</v>
      </c>
      <c r="AR5" s="29" t="str">
        <f>AE5</f>
        <v>-----</v>
      </c>
      <c r="AS5" s="22"/>
      <c r="AT5" s="401"/>
      <c r="AU5" s="401"/>
      <c r="AV5" s="370"/>
      <c r="AW5" s="38"/>
      <c r="AX5" s="370"/>
      <c r="AY5" s="370"/>
      <c r="AZ5" s="401">
        <v>4</v>
      </c>
      <c r="BA5" s="401" t="s">
        <v>29</v>
      </c>
      <c r="BB5" s="370" t="s">
        <v>57</v>
      </c>
      <c r="BC5" s="36">
        <f t="array" ref="BC5:BD9">LINEST(AR21:AR25,AQ21:AQ25^{1},TRUE,TRUE)</f>
        <v>0</v>
      </c>
      <c r="BD5" s="370">
        <v>0</v>
      </c>
      <c r="BE5" s="370" t="s">
        <v>65</v>
      </c>
      <c r="BG5" s="30">
        <f>X5</f>
        <v>0</v>
      </c>
      <c r="BH5" s="62">
        <f t="shared" ref="BH5:BH14" si="0">M22</f>
        <v>0</v>
      </c>
      <c r="BI5" s="29"/>
      <c r="BJ5" s="35">
        <v>1</v>
      </c>
      <c r="BK5" s="35">
        <v>1</v>
      </c>
      <c r="BL5" s="35" t="s">
        <v>29</v>
      </c>
      <c r="BM5" s="36">
        <f t="array" ref="BM5:BN5">LINEST(BH5:BH9,BG5:BG9^{1})</f>
        <v>0</v>
      </c>
      <c r="BN5" s="36">
        <v>0</v>
      </c>
      <c r="BO5" s="36"/>
      <c r="BP5" s="36"/>
      <c r="BQ5" s="35">
        <f>BZ7</f>
        <v>1</v>
      </c>
      <c r="BR5" s="45">
        <f>1-(((1-BQ5)*(5-1-1)))</f>
        <v>1</v>
      </c>
      <c r="BS5" s="41"/>
      <c r="BT5" s="28">
        <f>X5</f>
        <v>0</v>
      </c>
      <c r="BU5" s="62">
        <f>BH5</f>
        <v>0</v>
      </c>
      <c r="BV5" s="22"/>
      <c r="BW5" s="401">
        <v>1</v>
      </c>
      <c r="BX5" s="401" t="s">
        <v>29</v>
      </c>
      <c r="BY5" s="370" t="s">
        <v>57</v>
      </c>
      <c r="BZ5" s="38">
        <f t="array" ref="BZ5:CA9">LINEST(BU5:BU9,BT5:BT9^{1},TRUE,TRUE)</f>
        <v>0</v>
      </c>
      <c r="CA5" s="370">
        <v>0</v>
      </c>
      <c r="CB5" s="370" t="s">
        <v>65</v>
      </c>
      <c r="CC5" s="401">
        <v>4</v>
      </c>
      <c r="CD5" s="401" t="s">
        <v>29</v>
      </c>
      <c r="CE5" s="370" t="s">
        <v>57</v>
      </c>
      <c r="CF5" s="36">
        <f t="array" ref="CF5:CG9">LINEST(BU21:BU25,BT21:BT25^{1},TRUE,TRUE)</f>
        <v>0</v>
      </c>
      <c r="CG5" s="370">
        <v>0</v>
      </c>
      <c r="CH5" s="370" t="s">
        <v>65</v>
      </c>
    </row>
    <row r="6" spans="1:86" ht="20" customHeight="1" thickTop="1">
      <c r="D6" s="112">
        <v>4</v>
      </c>
      <c r="E6" s="415" t="s">
        <v>123</v>
      </c>
      <c r="F6" s="416"/>
      <c r="G6" s="323"/>
      <c r="H6" s="3"/>
      <c r="I6" s="417"/>
      <c r="J6" s="417"/>
      <c r="K6" s="404"/>
      <c r="L6" s="404"/>
      <c r="M6" s="419"/>
      <c r="N6" s="364" t="s">
        <v>42</v>
      </c>
      <c r="O6" s="364" t="s">
        <v>43</v>
      </c>
      <c r="P6" s="421"/>
      <c r="Q6" s="421"/>
      <c r="U6" s="20">
        <v>1</v>
      </c>
      <c r="V6" s="20">
        <v>2</v>
      </c>
      <c r="W6" s="20">
        <v>2</v>
      </c>
      <c r="X6" s="20">
        <f t="shared" ref="X6:X9" si="1">SMALL($J$22:$J$26,W6)</f>
        <v>0</v>
      </c>
      <c r="Y6" s="22">
        <f t="shared" ref="Y6:Y9" si="2">VLOOKUP(X6,$J$22:$K$26,2,FALSE)</f>
        <v>0</v>
      </c>
      <c r="Z6" s="27">
        <f t="array" ref="Z6:AA6">LINEST(Y6:Y7,X6:X7^{1})</f>
        <v>0</v>
      </c>
      <c r="AA6" s="88">
        <v>0</v>
      </c>
      <c r="AB6" s="22">
        <f t="shared" ref="AB6:AB14" si="3">(Z6*X6+AA6)-Y6</f>
        <v>0</v>
      </c>
      <c r="AD6" s="30">
        <f t="shared" ref="AD6:AD14" si="4">X6</f>
        <v>0</v>
      </c>
      <c r="AE6" s="31" t="str">
        <f t="shared" ref="AE6:AE9" si="5">VLOOKUP(AD6,$J$22:$L$26,3,FALSE)</f>
        <v>-----</v>
      </c>
      <c r="AF6" s="31"/>
      <c r="AG6" s="370"/>
      <c r="AH6" s="370"/>
      <c r="AI6" s="370"/>
      <c r="AJ6" s="211"/>
      <c r="AK6" s="211"/>
      <c r="AL6" s="211"/>
      <c r="AM6" s="211"/>
      <c r="AN6" s="215"/>
      <c r="AO6" s="216"/>
      <c r="AP6" s="41"/>
      <c r="AQ6" s="30">
        <f t="shared" ref="AQ6:AQ14" si="6">X6</f>
        <v>0</v>
      </c>
      <c r="AR6" s="31" t="str">
        <f t="shared" ref="AR6:AR14" si="7">AE6</f>
        <v>-----</v>
      </c>
      <c r="AT6" s="401"/>
      <c r="AU6" s="401"/>
      <c r="AV6" s="370"/>
      <c r="AW6" s="42"/>
      <c r="AX6" s="370"/>
      <c r="AY6" s="370"/>
      <c r="AZ6" s="401"/>
      <c r="BA6" s="401"/>
      <c r="BB6" s="370" t="s">
        <v>66</v>
      </c>
      <c r="BC6" s="42">
        <v>0</v>
      </c>
      <c r="BD6" s="370">
        <v>0</v>
      </c>
      <c r="BE6" s="370" t="s">
        <v>67</v>
      </c>
      <c r="BG6" s="30">
        <f t="shared" ref="BG6:BG14" si="8">X6</f>
        <v>0</v>
      </c>
      <c r="BH6" s="63">
        <f t="shared" si="0"/>
        <v>0</v>
      </c>
      <c r="BI6" s="31"/>
      <c r="BJ6" s="370">
        <v>1</v>
      </c>
      <c r="BK6" s="370">
        <v>2</v>
      </c>
      <c r="BL6" s="370" t="s">
        <v>59</v>
      </c>
      <c r="BM6" s="38">
        <f t="array" ref="BM6:BO6">LINEST(BH5:BH9,BG5:BG9^{1,2})</f>
        <v>0</v>
      </c>
      <c r="BN6" s="38">
        <v>0</v>
      </c>
      <c r="BO6" s="38">
        <v>0</v>
      </c>
      <c r="BP6" s="38"/>
      <c r="BQ6" s="370">
        <f>BZ12</f>
        <v>1</v>
      </c>
      <c r="BR6" s="46">
        <f>1-(((1-BQ6)*(5-2-1)))</f>
        <v>1</v>
      </c>
      <c r="BS6" s="41"/>
      <c r="BT6" s="30">
        <f t="shared" ref="BT6:BT14" si="9">X6</f>
        <v>0</v>
      </c>
      <c r="BU6" s="63">
        <f t="shared" ref="BU6:BU14" si="10">BH6</f>
        <v>0</v>
      </c>
      <c r="BW6" s="401"/>
      <c r="BX6" s="401"/>
      <c r="BY6" s="370" t="s">
        <v>66</v>
      </c>
      <c r="BZ6" s="42">
        <v>0</v>
      </c>
      <c r="CA6" s="370">
        <v>0</v>
      </c>
      <c r="CB6" s="370" t="s">
        <v>67</v>
      </c>
      <c r="CC6" s="401"/>
      <c r="CD6" s="401"/>
      <c r="CE6" s="370" t="s">
        <v>66</v>
      </c>
      <c r="CF6" s="42">
        <v>0</v>
      </c>
      <c r="CG6" s="370">
        <v>0</v>
      </c>
      <c r="CH6" s="370" t="s">
        <v>67</v>
      </c>
    </row>
    <row r="7" spans="1:86" ht="20" customHeight="1">
      <c r="D7" s="112">
        <v>5</v>
      </c>
      <c r="E7" s="415" t="s">
        <v>278</v>
      </c>
      <c r="F7" s="416"/>
      <c r="G7" s="375"/>
      <c r="H7" s="3"/>
      <c r="I7" s="70"/>
      <c r="J7" s="70">
        <v>1</v>
      </c>
      <c r="K7" s="324"/>
      <c r="L7" s="324"/>
      <c r="M7" s="270"/>
      <c r="N7" s="325"/>
      <c r="O7" s="325"/>
      <c r="P7" s="346"/>
      <c r="Q7" s="346"/>
      <c r="R7" s="403" t="s">
        <v>96</v>
      </c>
      <c r="S7" s="403"/>
      <c r="U7" s="20">
        <v>1</v>
      </c>
      <c r="V7" s="20">
        <v>3</v>
      </c>
      <c r="W7" s="20">
        <v>3</v>
      </c>
      <c r="X7" s="20">
        <f t="shared" si="1"/>
        <v>0</v>
      </c>
      <c r="Y7" s="22">
        <f t="shared" si="2"/>
        <v>0</v>
      </c>
      <c r="Z7" s="27">
        <f t="array" ref="Z7:AA7">LINEST(Y7:Y8,X7:X8^{1})</f>
        <v>0</v>
      </c>
      <c r="AA7" s="88">
        <v>0</v>
      </c>
      <c r="AB7" s="22">
        <f t="shared" si="3"/>
        <v>0</v>
      </c>
      <c r="AD7" s="30">
        <f t="shared" si="4"/>
        <v>0</v>
      </c>
      <c r="AE7" s="31" t="str">
        <f t="shared" si="5"/>
        <v>-----</v>
      </c>
      <c r="AF7" s="31"/>
      <c r="AG7" s="39"/>
      <c r="AH7" s="39"/>
      <c r="AI7" s="39"/>
      <c r="AJ7" s="212"/>
      <c r="AK7" s="212"/>
      <c r="AL7" s="212"/>
      <c r="AM7" s="212"/>
      <c r="AN7" s="217"/>
      <c r="AO7" s="218"/>
      <c r="AP7" s="41"/>
      <c r="AQ7" s="30">
        <f t="shared" si="6"/>
        <v>0</v>
      </c>
      <c r="AR7" s="31" t="str">
        <f t="shared" si="7"/>
        <v>-----</v>
      </c>
      <c r="AT7" s="401"/>
      <c r="AU7" s="401"/>
      <c r="AV7" s="370"/>
      <c r="AW7" s="42"/>
      <c r="AX7" s="370"/>
      <c r="AY7" s="370"/>
      <c r="AZ7" s="401"/>
      <c r="BA7" s="401"/>
      <c r="BB7" s="370" t="s">
        <v>31</v>
      </c>
      <c r="BC7" s="42">
        <v>1</v>
      </c>
      <c r="BD7" s="370">
        <v>0</v>
      </c>
      <c r="BE7" s="370" t="s">
        <v>68</v>
      </c>
      <c r="BG7" s="30">
        <f t="shared" si="8"/>
        <v>0</v>
      </c>
      <c r="BH7" s="63">
        <f t="shared" si="0"/>
        <v>0</v>
      </c>
      <c r="BI7" s="31"/>
      <c r="BJ7" s="39">
        <v>1</v>
      </c>
      <c r="BK7" s="39">
        <v>3</v>
      </c>
      <c r="BL7" s="39" t="s">
        <v>30</v>
      </c>
      <c r="BM7" s="40">
        <f t="array" ref="BM7:BP7">LINEST(BH5:BH9,BG5:BG9^{1,2,3})</f>
        <v>0</v>
      </c>
      <c r="BN7" s="40">
        <v>0</v>
      </c>
      <c r="BO7" s="40">
        <v>0</v>
      </c>
      <c r="BP7" s="40">
        <v>0</v>
      </c>
      <c r="BQ7" s="39">
        <f>BZ18</f>
        <v>1</v>
      </c>
      <c r="BR7" s="47">
        <f>1-(((1-BQ7)*(5-3-1)))</f>
        <v>1</v>
      </c>
      <c r="BS7" s="41"/>
      <c r="BT7" s="30">
        <f t="shared" si="9"/>
        <v>0</v>
      </c>
      <c r="BU7" s="63">
        <f t="shared" si="10"/>
        <v>0</v>
      </c>
      <c r="BW7" s="401"/>
      <c r="BX7" s="401"/>
      <c r="BY7" s="370" t="s">
        <v>31</v>
      </c>
      <c r="BZ7" s="42">
        <v>1</v>
      </c>
      <c r="CA7" s="370">
        <v>0</v>
      </c>
      <c r="CB7" s="370" t="s">
        <v>68</v>
      </c>
      <c r="CC7" s="401"/>
      <c r="CD7" s="401"/>
      <c r="CE7" s="370" t="s">
        <v>31</v>
      </c>
      <c r="CF7" s="42">
        <v>1</v>
      </c>
      <c r="CG7" s="370">
        <v>0</v>
      </c>
      <c r="CH7" s="370" t="s">
        <v>68</v>
      </c>
    </row>
    <row r="8" spans="1:86" ht="20" customHeight="1">
      <c r="D8" s="112">
        <v>6</v>
      </c>
      <c r="E8" s="415" t="s">
        <v>45</v>
      </c>
      <c r="F8" s="416"/>
      <c r="G8" s="323"/>
      <c r="I8" s="70"/>
      <c r="J8" s="70">
        <v>2</v>
      </c>
      <c r="K8" s="18" t="str">
        <f>IF(L7="","",L7)</f>
        <v/>
      </c>
      <c r="L8" s="324"/>
      <c r="M8" s="270"/>
      <c r="N8" s="325"/>
      <c r="O8" s="325"/>
      <c r="P8" s="346"/>
      <c r="Q8" s="346"/>
      <c r="R8" s="21"/>
      <c r="S8" s="21">
        <v>4</v>
      </c>
      <c r="U8" s="20">
        <v>1</v>
      </c>
      <c r="V8" s="20">
        <v>4</v>
      </c>
      <c r="W8" s="20">
        <v>4</v>
      </c>
      <c r="X8" s="20">
        <f t="shared" si="1"/>
        <v>0</v>
      </c>
      <c r="Y8" s="22">
        <f t="shared" si="2"/>
        <v>0</v>
      </c>
      <c r="Z8" s="27">
        <f t="array" ref="Z8:AA8">LINEST(Y8:Y9,X8:X9^{1})</f>
        <v>0</v>
      </c>
      <c r="AA8" s="88">
        <v>0</v>
      </c>
      <c r="AB8" s="22">
        <f t="shared" si="3"/>
        <v>0</v>
      </c>
      <c r="AD8" s="30">
        <f t="shared" si="4"/>
        <v>0</v>
      </c>
      <c r="AE8" s="31" t="str">
        <f t="shared" si="5"/>
        <v>-----</v>
      </c>
      <c r="AF8" s="31"/>
      <c r="AG8" s="35"/>
      <c r="AH8" s="35"/>
      <c r="AI8" s="35"/>
      <c r="AJ8" s="210"/>
      <c r="AK8" s="210"/>
      <c r="AL8" s="210"/>
      <c r="AM8" s="210"/>
      <c r="AN8" s="213"/>
      <c r="AO8" s="214"/>
      <c r="AP8" s="41"/>
      <c r="AQ8" s="30">
        <f t="shared" si="6"/>
        <v>0</v>
      </c>
      <c r="AR8" s="31" t="str">
        <f t="shared" si="7"/>
        <v>-----</v>
      </c>
      <c r="AT8" s="401"/>
      <c r="AU8" s="401"/>
      <c r="AV8" s="370"/>
      <c r="AW8" s="42"/>
      <c r="AX8" s="370"/>
      <c r="AY8" s="370"/>
      <c r="AZ8" s="401"/>
      <c r="BA8" s="401"/>
      <c r="BB8" s="370" t="s">
        <v>69</v>
      </c>
      <c r="BC8" s="42" t="e">
        <v>#NUM!</v>
      </c>
      <c r="BD8" s="370">
        <v>3</v>
      </c>
      <c r="BE8" s="370" t="s">
        <v>70</v>
      </c>
      <c r="BG8" s="30">
        <f t="shared" si="8"/>
        <v>0</v>
      </c>
      <c r="BH8" s="63">
        <f t="shared" si="0"/>
        <v>0</v>
      </c>
      <c r="BI8" s="31"/>
      <c r="BJ8" s="35">
        <v>2</v>
      </c>
      <c r="BK8" s="35">
        <v>4</v>
      </c>
      <c r="BL8" s="35" t="s">
        <v>29</v>
      </c>
      <c r="BM8" s="36">
        <f t="array" ref="BM8:BN8">LINEST(BH10:BH14,BG10:BG14^{1})</f>
        <v>0</v>
      </c>
      <c r="BN8" s="36">
        <v>0</v>
      </c>
      <c r="BO8" s="36"/>
      <c r="BP8" s="36"/>
      <c r="BQ8" s="35">
        <f>BZ23</f>
        <v>1</v>
      </c>
      <c r="BR8" s="45">
        <f>1-(((1-BQ8)*(5-1-1)))</f>
        <v>1</v>
      </c>
      <c r="BS8" s="41"/>
      <c r="BT8" s="30">
        <f t="shared" si="9"/>
        <v>0</v>
      </c>
      <c r="BU8" s="63">
        <f t="shared" si="10"/>
        <v>0</v>
      </c>
      <c r="BW8" s="401"/>
      <c r="BX8" s="401"/>
      <c r="BY8" s="370" t="s">
        <v>69</v>
      </c>
      <c r="BZ8" s="42" t="e">
        <v>#NUM!</v>
      </c>
      <c r="CA8" s="370">
        <v>3</v>
      </c>
      <c r="CB8" s="370" t="s">
        <v>70</v>
      </c>
      <c r="CC8" s="401"/>
      <c r="CD8" s="401"/>
      <c r="CE8" s="370" t="s">
        <v>69</v>
      </c>
      <c r="CF8" s="42" t="e">
        <v>#NUM!</v>
      </c>
      <c r="CG8" s="370">
        <v>3</v>
      </c>
      <c r="CH8" s="370" t="s">
        <v>70</v>
      </c>
    </row>
    <row r="9" spans="1:86" ht="20" customHeight="1">
      <c r="D9" s="112">
        <v>7</v>
      </c>
      <c r="E9" s="415" t="s">
        <v>120</v>
      </c>
      <c r="F9" s="416"/>
      <c r="G9" s="323"/>
      <c r="H9" s="14">
        <f>MIN(K7:K12)</f>
        <v>0</v>
      </c>
      <c r="I9" s="70"/>
      <c r="J9" s="70">
        <v>3</v>
      </c>
      <c r="K9" s="18" t="str">
        <f>IF(L8="","",L8)</f>
        <v/>
      </c>
      <c r="L9" s="324"/>
      <c r="M9" s="270"/>
      <c r="N9" s="325"/>
      <c r="O9" s="325"/>
      <c r="P9" s="346"/>
      <c r="Q9" s="346"/>
      <c r="R9" s="21"/>
      <c r="S9" s="21">
        <v>5</v>
      </c>
      <c r="U9" s="20">
        <v>1</v>
      </c>
      <c r="V9" s="20">
        <v>5</v>
      </c>
      <c r="W9" s="20">
        <v>5</v>
      </c>
      <c r="X9" s="20">
        <f t="shared" si="1"/>
        <v>0</v>
      </c>
      <c r="Y9" s="22">
        <f t="shared" si="2"/>
        <v>0</v>
      </c>
      <c r="Z9" s="27">
        <f t="array" ref="Z9:AA9">LINEST(Y8:Y9,X8:X9^{1})</f>
        <v>0</v>
      </c>
      <c r="AA9" s="88">
        <v>0</v>
      </c>
      <c r="AB9" s="22">
        <f t="shared" si="3"/>
        <v>0</v>
      </c>
      <c r="AD9" s="30">
        <f t="shared" si="4"/>
        <v>0</v>
      </c>
      <c r="AE9" s="31" t="str">
        <f t="shared" si="5"/>
        <v>-----</v>
      </c>
      <c r="AF9" s="31"/>
      <c r="AG9" s="370"/>
      <c r="AH9" s="370"/>
      <c r="AI9" s="370"/>
      <c r="AJ9" s="211"/>
      <c r="AK9" s="211"/>
      <c r="AL9" s="211"/>
      <c r="AM9" s="211"/>
      <c r="AN9" s="215"/>
      <c r="AO9" s="216"/>
      <c r="AP9" s="41"/>
      <c r="AQ9" s="32">
        <f t="shared" si="6"/>
        <v>0</v>
      </c>
      <c r="AR9" s="33" t="str">
        <f t="shared" si="7"/>
        <v>-----</v>
      </c>
      <c r="AT9" s="400"/>
      <c r="AU9" s="400"/>
      <c r="AV9" s="39"/>
      <c r="AW9" s="43"/>
      <c r="AX9" s="39"/>
      <c r="AY9" s="39"/>
      <c r="AZ9" s="400"/>
      <c r="BA9" s="400"/>
      <c r="BB9" s="39" t="s">
        <v>71</v>
      </c>
      <c r="BC9" s="43">
        <v>0</v>
      </c>
      <c r="BD9" s="39">
        <v>0</v>
      </c>
      <c r="BE9" s="39" t="s">
        <v>72</v>
      </c>
      <c r="BG9" s="30">
        <f t="shared" si="8"/>
        <v>0</v>
      </c>
      <c r="BH9" s="64">
        <f t="shared" si="0"/>
        <v>0</v>
      </c>
      <c r="BI9" s="31"/>
      <c r="BJ9" s="370">
        <v>2</v>
      </c>
      <c r="BK9" s="370">
        <v>5</v>
      </c>
      <c r="BL9" s="370" t="s">
        <v>59</v>
      </c>
      <c r="BM9" s="38">
        <f t="array" ref="BM9:BO9">LINEST(BH10:BH14,BG10:BG14^{1,2})</f>
        <v>0</v>
      </c>
      <c r="BN9" s="38">
        <v>0</v>
      </c>
      <c r="BO9" s="38">
        <v>0</v>
      </c>
      <c r="BP9" s="38"/>
      <c r="BQ9" s="370">
        <f>BZ28</f>
        <v>1</v>
      </c>
      <c r="BR9" s="46">
        <f>1-(((1-BQ9)*(5-2-1)))</f>
        <v>1</v>
      </c>
      <c r="BS9" s="41"/>
      <c r="BT9" s="32">
        <f t="shared" si="9"/>
        <v>0</v>
      </c>
      <c r="BU9" s="64">
        <f t="shared" si="10"/>
        <v>0</v>
      </c>
      <c r="BW9" s="400"/>
      <c r="BX9" s="400"/>
      <c r="BY9" s="39" t="s">
        <v>71</v>
      </c>
      <c r="BZ9" s="43">
        <v>0</v>
      </c>
      <c r="CA9" s="39">
        <v>0</v>
      </c>
      <c r="CB9" s="39" t="s">
        <v>72</v>
      </c>
      <c r="CC9" s="400"/>
      <c r="CD9" s="400"/>
      <c r="CE9" s="39" t="s">
        <v>71</v>
      </c>
      <c r="CF9" s="43">
        <v>0</v>
      </c>
      <c r="CG9" s="39">
        <v>0</v>
      </c>
      <c r="CH9" s="39" t="s">
        <v>72</v>
      </c>
    </row>
    <row r="10" spans="1:86" ht="20" customHeight="1">
      <c r="D10" s="112">
        <v>8</v>
      </c>
      <c r="E10" s="407" t="s">
        <v>146</v>
      </c>
      <c r="F10" s="407"/>
      <c r="G10" s="323"/>
      <c r="H10" s="14">
        <f>MAX(L7:L12)</f>
        <v>0</v>
      </c>
      <c r="I10" s="70"/>
      <c r="J10" s="70">
        <v>4</v>
      </c>
      <c r="K10" s="18" t="str">
        <f>IF(L9="","",L9)</f>
        <v/>
      </c>
      <c r="L10" s="324"/>
      <c r="M10" s="270"/>
      <c r="N10" s="325"/>
      <c r="O10" s="325"/>
      <c r="P10" s="346"/>
      <c r="Q10" s="346"/>
      <c r="S10" s="21">
        <v>6</v>
      </c>
      <c r="U10" s="20">
        <v>2</v>
      </c>
      <c r="V10" s="20">
        <v>6</v>
      </c>
      <c r="W10" s="20">
        <v>1</v>
      </c>
      <c r="X10" s="20">
        <f>SMALL($J$27:$J$31,W10)</f>
        <v>0</v>
      </c>
      <c r="Y10" s="22">
        <f>VLOOKUP(X10,$J$27:$K$31,2,FALSE)</f>
        <v>0</v>
      </c>
      <c r="Z10" s="27">
        <f t="array" ref="Z10:AA10">LINEST(Y10:Y11,X10:X11^{1})</f>
        <v>0</v>
      </c>
      <c r="AA10" s="88">
        <v>0</v>
      </c>
      <c r="AB10" s="22">
        <f t="shared" si="3"/>
        <v>0</v>
      </c>
      <c r="AD10" s="28">
        <f t="shared" si="4"/>
        <v>0</v>
      </c>
      <c r="AE10" s="29" t="str">
        <f>VLOOKUP(AD10,$J$27:$L$31,3,FALSE)</f>
        <v>-----</v>
      </c>
      <c r="AF10" s="31"/>
      <c r="AG10" s="370"/>
      <c r="AH10" s="370"/>
      <c r="AI10" s="370"/>
      <c r="AJ10" s="211"/>
      <c r="AK10" s="211"/>
      <c r="AL10" s="211"/>
      <c r="AM10" s="211"/>
      <c r="AN10" s="215"/>
      <c r="AO10" s="218"/>
      <c r="AP10" s="41"/>
      <c r="AQ10" s="28">
        <f t="shared" si="6"/>
        <v>0</v>
      </c>
      <c r="AR10" s="29" t="str">
        <f t="shared" si="7"/>
        <v>-----</v>
      </c>
      <c r="AT10" s="398"/>
      <c r="AU10" s="398"/>
      <c r="AV10" s="5"/>
      <c r="AW10" s="38"/>
      <c r="AX10" s="370"/>
      <c r="AY10" s="5"/>
      <c r="AZ10" s="398">
        <v>4</v>
      </c>
      <c r="BA10" s="398" t="s">
        <v>33</v>
      </c>
      <c r="BB10" s="5" t="s">
        <v>57</v>
      </c>
      <c r="BC10" s="36">
        <f t="array" ref="BC10:BD14">LINEST(AR21:AR25,AQ21:AQ25^{1,2},TRUE,TRUE)</f>
        <v>0</v>
      </c>
      <c r="BD10" s="370">
        <v>0</v>
      </c>
      <c r="BE10" s="5" t="s">
        <v>65</v>
      </c>
      <c r="BG10" s="30">
        <f t="shared" si="8"/>
        <v>0</v>
      </c>
      <c r="BH10" s="62">
        <f t="shared" si="0"/>
        <v>0</v>
      </c>
      <c r="BI10" s="31"/>
      <c r="BJ10" s="370">
        <v>2</v>
      </c>
      <c r="BK10" s="370">
        <v>6</v>
      </c>
      <c r="BL10" s="370" t="s">
        <v>30</v>
      </c>
      <c r="BM10" s="38">
        <f t="array" ref="BM10:BP10">LINEST(BH10:BH14,BG10:BG14^{1,2,3})</f>
        <v>0</v>
      </c>
      <c r="BN10" s="38">
        <v>0</v>
      </c>
      <c r="BO10" s="38">
        <v>0</v>
      </c>
      <c r="BP10" s="38">
        <v>0</v>
      </c>
      <c r="BQ10" s="370">
        <f>BZ33</f>
        <v>1</v>
      </c>
      <c r="BR10" s="47">
        <f>1-(((1-BQ10)*(5-3-1)))</f>
        <v>1</v>
      </c>
      <c r="BS10" s="41"/>
      <c r="BT10" s="28">
        <f t="shared" si="9"/>
        <v>0</v>
      </c>
      <c r="BU10" s="62">
        <f t="shared" si="10"/>
        <v>0</v>
      </c>
      <c r="BW10" s="398">
        <v>1</v>
      </c>
      <c r="BX10" s="398" t="s">
        <v>33</v>
      </c>
      <c r="BY10" s="5" t="s">
        <v>57</v>
      </c>
      <c r="BZ10" s="38">
        <f t="array" ref="BZ10:CA14">LINEST(BU5:BU9,BT5:BT9^{1,2},TRUE,TRUE)</f>
        <v>0</v>
      </c>
      <c r="CA10" s="370">
        <v>0</v>
      </c>
      <c r="CB10" s="5" t="s">
        <v>65</v>
      </c>
      <c r="CC10" s="398">
        <v>4</v>
      </c>
      <c r="CD10" s="398" t="s">
        <v>33</v>
      </c>
      <c r="CE10" s="5" t="s">
        <v>57</v>
      </c>
      <c r="CF10" s="36">
        <f t="array" ref="CF10:CG14">LINEST(BU21:BU25,BT21:BT25^{1,2},TRUE,TRUE)</f>
        <v>0</v>
      </c>
      <c r="CG10" s="370">
        <v>0</v>
      </c>
      <c r="CH10" s="5" t="s">
        <v>65</v>
      </c>
    </row>
    <row r="11" spans="1:86" ht="20" customHeight="1">
      <c r="E11" s="413" t="s">
        <v>149</v>
      </c>
      <c r="F11" s="413"/>
      <c r="H11" s="14"/>
      <c r="I11" s="71"/>
      <c r="J11" s="71">
        <v>5</v>
      </c>
      <c r="K11" s="72" t="str">
        <f>IF(L10="","",L10)</f>
        <v/>
      </c>
      <c r="L11" s="326"/>
      <c r="M11" s="327"/>
      <c r="N11" s="328"/>
      <c r="O11" s="327"/>
      <c r="P11" s="346"/>
      <c r="Q11" s="346"/>
      <c r="R11" s="403" t="s">
        <v>194</v>
      </c>
      <c r="S11" s="403"/>
      <c r="U11" s="20">
        <v>2</v>
      </c>
      <c r="V11" s="20">
        <v>7</v>
      </c>
      <c r="W11" s="20">
        <v>2</v>
      </c>
      <c r="X11" s="20">
        <f t="shared" ref="X11:X14" si="11">SMALL($J$27:$J$31,W11)</f>
        <v>0</v>
      </c>
      <c r="Y11" s="22">
        <f t="shared" ref="Y11:Y14" si="12">VLOOKUP(X11,$J$27:$K$31,2,FALSE)</f>
        <v>0</v>
      </c>
      <c r="Z11" s="27">
        <f t="array" ref="Z11:AA11">LINEST(Y11:Y12,X11:X12^{1})</f>
        <v>0</v>
      </c>
      <c r="AA11" s="88">
        <v>0</v>
      </c>
      <c r="AB11" s="22">
        <f t="shared" si="3"/>
        <v>0</v>
      </c>
      <c r="AD11" s="30">
        <f t="shared" si="4"/>
        <v>0</v>
      </c>
      <c r="AE11" s="31" t="str">
        <f>VLOOKUP(AD11,$J$27:$L$31,3,FALSE)</f>
        <v>-----</v>
      </c>
      <c r="AF11" s="31"/>
      <c r="AG11" s="35">
        <v>3</v>
      </c>
      <c r="AH11" s="35">
        <v>7</v>
      </c>
      <c r="AI11" s="35" t="s">
        <v>29</v>
      </c>
      <c r="AJ11" s="210">
        <f t="array" ref="AJ11:AK11">LINEST(AE16:AE20,AD16:AD20^{1})</f>
        <v>0</v>
      </c>
      <c r="AK11" s="210">
        <v>0</v>
      </c>
      <c r="AL11" s="210"/>
      <c r="AM11" s="210"/>
      <c r="AN11" s="213">
        <f>AW38</f>
        <v>1</v>
      </c>
      <c r="AO11" s="214">
        <f>1-(((1-AN11)*(5-1-1)))</f>
        <v>1</v>
      </c>
      <c r="AP11" s="41"/>
      <c r="AQ11" s="30">
        <f t="shared" si="6"/>
        <v>0</v>
      </c>
      <c r="AR11" s="31" t="str">
        <f t="shared" si="7"/>
        <v>-----</v>
      </c>
      <c r="AT11" s="401"/>
      <c r="AU11" s="399"/>
      <c r="AV11" s="5"/>
      <c r="AW11" s="42"/>
      <c r="AX11" s="370"/>
      <c r="AY11" s="5"/>
      <c r="AZ11" s="401"/>
      <c r="BA11" s="399"/>
      <c r="BB11" s="5" t="s">
        <v>66</v>
      </c>
      <c r="BC11" s="42">
        <v>0</v>
      </c>
      <c r="BD11" s="370">
        <v>0</v>
      </c>
      <c r="BE11" s="5" t="s">
        <v>67</v>
      </c>
      <c r="BG11" s="30">
        <f t="shared" si="8"/>
        <v>0</v>
      </c>
      <c r="BH11" s="63">
        <f t="shared" si="0"/>
        <v>0</v>
      </c>
      <c r="BI11" s="31"/>
      <c r="BJ11" s="35">
        <v>3</v>
      </c>
      <c r="BK11" s="35">
        <v>7</v>
      </c>
      <c r="BL11" s="35" t="s">
        <v>29</v>
      </c>
      <c r="BM11" s="36">
        <f t="array" ref="BM11:BN11">LINEST(BH16:BH20,BG16:BG20^{1})</f>
        <v>0</v>
      </c>
      <c r="BN11" s="36">
        <v>0</v>
      </c>
      <c r="BO11" s="36"/>
      <c r="BP11" s="36"/>
      <c r="BQ11" s="35">
        <f>BZ33</f>
        <v>1</v>
      </c>
      <c r="BR11" s="45">
        <f>1-(((1-BQ11)*(5-1-1)))</f>
        <v>1</v>
      </c>
      <c r="BS11" s="41"/>
      <c r="BT11" s="30">
        <f t="shared" si="9"/>
        <v>0</v>
      </c>
      <c r="BU11" s="63">
        <f t="shared" si="10"/>
        <v>0</v>
      </c>
      <c r="BW11" s="401"/>
      <c r="BX11" s="399"/>
      <c r="BY11" s="5" t="s">
        <v>66</v>
      </c>
      <c r="BZ11" s="42">
        <v>0</v>
      </c>
      <c r="CA11" s="370">
        <v>0</v>
      </c>
      <c r="CB11" s="5" t="s">
        <v>67</v>
      </c>
      <c r="CC11" s="401"/>
      <c r="CD11" s="399"/>
      <c r="CE11" s="5" t="s">
        <v>66</v>
      </c>
      <c r="CF11" s="42">
        <v>0</v>
      </c>
      <c r="CG11" s="370">
        <v>0</v>
      </c>
      <c r="CH11" s="5" t="s">
        <v>67</v>
      </c>
    </row>
    <row r="12" spans="1:86" ht="20" customHeight="1">
      <c r="A12" s="243"/>
      <c r="B12" s="237"/>
      <c r="H12" s="48"/>
      <c r="I12" s="71"/>
      <c r="J12" s="71">
        <v>6</v>
      </c>
      <c r="K12" s="72" t="str">
        <f>IF(L11="","",L11)</f>
        <v/>
      </c>
      <c r="L12" s="326"/>
      <c r="M12" s="73"/>
      <c r="N12" s="328"/>
      <c r="O12" s="327"/>
      <c r="P12" s="346"/>
      <c r="Q12" s="346"/>
      <c r="R12" s="21" t="s">
        <v>195</v>
      </c>
      <c r="S12" s="21">
        <v>1</v>
      </c>
      <c r="U12" s="20">
        <v>2</v>
      </c>
      <c r="V12" s="20">
        <v>8</v>
      </c>
      <c r="W12" s="20">
        <v>3</v>
      </c>
      <c r="X12" s="20">
        <f t="shared" si="11"/>
        <v>0</v>
      </c>
      <c r="Y12" s="22">
        <f t="shared" si="12"/>
        <v>0</v>
      </c>
      <c r="Z12" s="27">
        <f t="array" ref="Z12:AA12">LINEST(Y12:Y13,X12:X13^{1})</f>
        <v>0</v>
      </c>
      <c r="AA12" s="88">
        <v>0</v>
      </c>
      <c r="AB12" s="22">
        <f t="shared" si="3"/>
        <v>0</v>
      </c>
      <c r="AD12" s="30">
        <f t="shared" si="4"/>
        <v>0</v>
      </c>
      <c r="AE12" s="31" t="str">
        <f t="shared" ref="AE12:AE14" si="13">VLOOKUP(AD12,$J$27:$L$31,3,FALSE)</f>
        <v>-----</v>
      </c>
      <c r="AF12" s="31"/>
      <c r="AG12" s="370">
        <v>3</v>
      </c>
      <c r="AH12" s="370">
        <v>8</v>
      </c>
      <c r="AI12" s="370" t="s">
        <v>59</v>
      </c>
      <c r="AJ12" s="211">
        <f t="array" ref="AJ12:AL12">LINEST(AE16:AE20,AD16:AD20^{1,2})</f>
        <v>0</v>
      </c>
      <c r="AK12" s="211">
        <v>0</v>
      </c>
      <c r="AL12" s="211">
        <v>0</v>
      </c>
      <c r="AM12" s="211"/>
      <c r="AN12" s="215">
        <f>AW43</f>
        <v>1</v>
      </c>
      <c r="AO12" s="216">
        <f>1-(((1-AN12)*(5-2-1)))</f>
        <v>1</v>
      </c>
      <c r="AP12" s="41"/>
      <c r="AQ12" s="30">
        <f t="shared" si="6"/>
        <v>0</v>
      </c>
      <c r="AR12" s="31" t="str">
        <f t="shared" si="7"/>
        <v>-----</v>
      </c>
      <c r="AT12" s="401"/>
      <c r="AU12" s="399"/>
      <c r="AV12" s="5"/>
      <c r="AW12" s="42"/>
      <c r="AX12" s="370"/>
      <c r="AY12" s="5"/>
      <c r="AZ12" s="401"/>
      <c r="BA12" s="399"/>
      <c r="BB12" s="5" t="s">
        <v>31</v>
      </c>
      <c r="BC12" s="42">
        <v>1</v>
      </c>
      <c r="BD12" s="370">
        <v>0</v>
      </c>
      <c r="BE12" s="5" t="s">
        <v>68</v>
      </c>
      <c r="BG12" s="30">
        <f t="shared" si="8"/>
        <v>0</v>
      </c>
      <c r="BH12" s="63">
        <f t="shared" si="0"/>
        <v>0</v>
      </c>
      <c r="BI12" s="31"/>
      <c r="BJ12" s="370">
        <v>3</v>
      </c>
      <c r="BK12" s="370">
        <v>8</v>
      </c>
      <c r="BL12" s="370" t="s">
        <v>59</v>
      </c>
      <c r="BM12" s="38">
        <f t="array" ref="BM12:BO12">LINEST(BH16:BH20,BG16:BG20^{1,2})</f>
        <v>0</v>
      </c>
      <c r="BN12" s="38">
        <v>0</v>
      </c>
      <c r="BO12" s="38">
        <v>0</v>
      </c>
      <c r="BP12" s="38"/>
      <c r="BQ12" s="370">
        <f>BZ43</f>
        <v>1</v>
      </c>
      <c r="BR12" s="46">
        <f>1-(((1-BQ12)*(5-2-1)))</f>
        <v>1</v>
      </c>
      <c r="BS12" s="41"/>
      <c r="BT12" s="30">
        <f t="shared" si="9"/>
        <v>0</v>
      </c>
      <c r="BU12" s="63">
        <f t="shared" si="10"/>
        <v>0</v>
      </c>
      <c r="BW12" s="401"/>
      <c r="BX12" s="399"/>
      <c r="BY12" s="5" t="s">
        <v>31</v>
      </c>
      <c r="BZ12" s="42">
        <v>1</v>
      </c>
      <c r="CA12" s="370">
        <v>0</v>
      </c>
      <c r="CB12" s="5" t="s">
        <v>68</v>
      </c>
      <c r="CC12" s="401"/>
      <c r="CD12" s="399"/>
      <c r="CE12" s="5" t="s">
        <v>31</v>
      </c>
      <c r="CF12" s="42">
        <v>1</v>
      </c>
      <c r="CG12" s="370">
        <v>0</v>
      </c>
      <c r="CH12" s="5" t="s">
        <v>68</v>
      </c>
    </row>
    <row r="13" spans="1:86" ht="20" customHeight="1">
      <c r="A13" s="406"/>
      <c r="B13" s="406"/>
      <c r="E13" s="363" t="s">
        <v>121</v>
      </c>
      <c r="F13" s="363"/>
      <c r="G13" s="324" t="s">
        <v>118</v>
      </c>
      <c r="H13" s="48">
        <f>VLOOKUP($G$13,$R$21:$S$22,2,FALSE)</f>
        <v>2</v>
      </c>
      <c r="K13" s="16"/>
      <c r="L13" s="16"/>
      <c r="M13" s="16"/>
      <c r="N13" s="3"/>
      <c r="O13" s="3"/>
      <c r="P13" s="255"/>
      <c r="Q13" s="229"/>
      <c r="R13" s="21" t="s">
        <v>196</v>
      </c>
      <c r="S13" s="21">
        <v>2</v>
      </c>
      <c r="U13" s="20">
        <v>2</v>
      </c>
      <c r="V13" s="20">
        <v>9</v>
      </c>
      <c r="W13" s="20">
        <v>4</v>
      </c>
      <c r="X13" s="20">
        <f t="shared" si="11"/>
        <v>0</v>
      </c>
      <c r="Y13" s="22">
        <f t="shared" si="12"/>
        <v>0</v>
      </c>
      <c r="Z13" s="27">
        <f t="array" ref="Z13:AA13">LINEST(Y13:Y14,X13:X14^{1})</f>
        <v>0</v>
      </c>
      <c r="AA13" s="88">
        <v>0</v>
      </c>
      <c r="AB13" s="22">
        <f t="shared" si="3"/>
        <v>0</v>
      </c>
      <c r="AD13" s="30">
        <f t="shared" si="4"/>
        <v>0</v>
      </c>
      <c r="AE13" s="31" t="str">
        <f t="shared" si="13"/>
        <v>-----</v>
      </c>
      <c r="AF13" s="31"/>
      <c r="AG13" s="370">
        <v>3</v>
      </c>
      <c r="AH13" s="370">
        <v>9</v>
      </c>
      <c r="AI13" s="370" t="s">
        <v>30</v>
      </c>
      <c r="AJ13" s="211">
        <f t="array" ref="AJ13:AM13">LINEST(AE16:AE20,AD16:AD20^{1,2,3})</f>
        <v>0</v>
      </c>
      <c r="AK13" s="211">
        <v>0</v>
      </c>
      <c r="AL13" s="211">
        <v>0</v>
      </c>
      <c r="AM13" s="211">
        <v>0</v>
      </c>
      <c r="AN13" s="215">
        <f>AW48</f>
        <v>1</v>
      </c>
      <c r="AO13" s="216">
        <f>1-(((1-AN13)*(5-3-1)))</f>
        <v>1</v>
      </c>
      <c r="AP13" s="41"/>
      <c r="AQ13" s="30">
        <f t="shared" si="6"/>
        <v>0</v>
      </c>
      <c r="AR13" s="31" t="str">
        <f t="shared" si="7"/>
        <v>-----</v>
      </c>
      <c r="AT13" s="401"/>
      <c r="AU13" s="399"/>
      <c r="AV13" s="5"/>
      <c r="AW13" s="42"/>
      <c r="AX13" s="370"/>
      <c r="AY13" s="5"/>
      <c r="AZ13" s="401"/>
      <c r="BA13" s="399"/>
      <c r="BB13" s="5" t="s">
        <v>69</v>
      </c>
      <c r="BC13" s="42" t="e">
        <v>#NUM!</v>
      </c>
      <c r="BD13" s="370">
        <v>2</v>
      </c>
      <c r="BE13" s="5" t="s">
        <v>70</v>
      </c>
      <c r="BG13" s="30">
        <f t="shared" si="8"/>
        <v>0</v>
      </c>
      <c r="BH13" s="63">
        <f t="shared" si="0"/>
        <v>0</v>
      </c>
      <c r="BI13" s="31"/>
      <c r="BJ13" s="370">
        <v>3</v>
      </c>
      <c r="BK13" s="370">
        <v>9</v>
      </c>
      <c r="BL13" s="370" t="s">
        <v>30</v>
      </c>
      <c r="BM13" s="38">
        <f t="array" ref="BM13:BP13">LINEST(BH16:BH20,BG16:BG20^{1,2,3})</f>
        <v>0</v>
      </c>
      <c r="BN13" s="38">
        <v>0</v>
      </c>
      <c r="BO13" s="38">
        <v>0</v>
      </c>
      <c r="BP13" s="38">
        <v>0</v>
      </c>
      <c r="BQ13" s="370">
        <f>BZ48</f>
        <v>1</v>
      </c>
      <c r="BR13" s="46">
        <f>1-(((1-BQ13)*(5-3-1)))</f>
        <v>1</v>
      </c>
      <c r="BS13" s="41"/>
      <c r="BT13" s="30">
        <f t="shared" si="9"/>
        <v>0</v>
      </c>
      <c r="BU13" s="63">
        <f t="shared" si="10"/>
        <v>0</v>
      </c>
      <c r="BW13" s="401"/>
      <c r="BX13" s="399"/>
      <c r="BY13" s="5" t="s">
        <v>69</v>
      </c>
      <c r="BZ13" s="42" t="e">
        <v>#NUM!</v>
      </c>
      <c r="CA13" s="370">
        <v>2</v>
      </c>
      <c r="CB13" s="5" t="s">
        <v>70</v>
      </c>
      <c r="CC13" s="401"/>
      <c r="CD13" s="399"/>
      <c r="CE13" s="5" t="s">
        <v>69</v>
      </c>
      <c r="CF13" s="42" t="e">
        <v>#NUM!</v>
      </c>
      <c r="CG13" s="370">
        <v>2</v>
      </c>
      <c r="CH13" s="5" t="s">
        <v>70</v>
      </c>
    </row>
    <row r="14" spans="1:86" ht="20" customHeight="1">
      <c r="A14" s="31"/>
      <c r="B14" s="30"/>
      <c r="E14" s="363" t="s">
        <v>201</v>
      </c>
      <c r="G14" s="330" t="s">
        <v>114</v>
      </c>
      <c r="H14" s="48">
        <f>VLOOKUP($G$14,$R$25:$S$26,2,FALSE)</f>
        <v>2</v>
      </c>
      <c r="K14" s="3"/>
      <c r="L14" s="3"/>
      <c r="M14" s="3"/>
      <c r="N14" s="3"/>
      <c r="O14" s="3"/>
      <c r="P14" s="3"/>
      <c r="R14" s="5"/>
      <c r="S14" s="20"/>
      <c r="U14" s="20">
        <v>2</v>
      </c>
      <c r="V14" s="20">
        <v>10</v>
      </c>
      <c r="W14" s="20">
        <v>5</v>
      </c>
      <c r="X14" s="20">
        <f t="shared" si="11"/>
        <v>0</v>
      </c>
      <c r="Y14" s="22">
        <f t="shared" si="12"/>
        <v>0</v>
      </c>
      <c r="Z14" s="27">
        <f t="array" ref="Z14:AA14">LINEST(Y13:Y14,X13:X14^{1})</f>
        <v>0</v>
      </c>
      <c r="AA14" s="88">
        <v>0</v>
      </c>
      <c r="AB14" s="22">
        <f t="shared" si="3"/>
        <v>0</v>
      </c>
      <c r="AD14" s="32">
        <f t="shared" si="4"/>
        <v>0</v>
      </c>
      <c r="AE14" s="33" t="str">
        <f t="shared" si="13"/>
        <v>-----</v>
      </c>
      <c r="AF14" s="31"/>
      <c r="AG14" s="35">
        <v>4</v>
      </c>
      <c r="AH14" s="35">
        <v>10</v>
      </c>
      <c r="AI14" s="35" t="s">
        <v>29</v>
      </c>
      <c r="AJ14" s="210">
        <f t="array" ref="AJ14:AK14">LINEST(AE21:AE25,AD21:AD25^{1})</f>
        <v>0</v>
      </c>
      <c r="AK14" s="210">
        <v>0</v>
      </c>
      <c r="AL14" s="210"/>
      <c r="AM14" s="210"/>
      <c r="AN14" s="213">
        <f>BC7</f>
        <v>1</v>
      </c>
      <c r="AO14" s="214">
        <f>1-(((1-AN14)*(5-1-1)))</f>
        <v>1</v>
      </c>
      <c r="AP14" s="41"/>
      <c r="AQ14" s="32">
        <f t="shared" si="6"/>
        <v>0</v>
      </c>
      <c r="AR14" s="33" t="str">
        <f t="shared" si="7"/>
        <v>-----</v>
      </c>
      <c r="AT14" s="401"/>
      <c r="AU14" s="401"/>
      <c r="AV14" s="5"/>
      <c r="AW14" s="42"/>
      <c r="AX14" s="370"/>
      <c r="AY14" s="5"/>
      <c r="AZ14" s="401"/>
      <c r="BA14" s="401"/>
      <c r="BB14" s="5" t="s">
        <v>71</v>
      </c>
      <c r="BC14" s="42">
        <v>0</v>
      </c>
      <c r="BD14" s="370">
        <v>0</v>
      </c>
      <c r="BE14" s="5" t="s">
        <v>72</v>
      </c>
      <c r="BG14" s="30">
        <f t="shared" si="8"/>
        <v>0</v>
      </c>
      <c r="BH14" s="64">
        <f t="shared" si="0"/>
        <v>0</v>
      </c>
      <c r="BI14" s="31"/>
      <c r="BJ14" s="35">
        <v>4</v>
      </c>
      <c r="BK14" s="35">
        <v>10</v>
      </c>
      <c r="BL14" s="35" t="s">
        <v>29</v>
      </c>
      <c r="BM14" s="36">
        <f t="array" ref="BM14:BN14">LINEST(BH21:BH25,BG21:BG25^{1})</f>
        <v>0</v>
      </c>
      <c r="BN14" s="36">
        <v>0</v>
      </c>
      <c r="BO14" s="36"/>
      <c r="BP14" s="36"/>
      <c r="BQ14" s="35">
        <f>CF7</f>
        <v>1</v>
      </c>
      <c r="BR14" s="45">
        <f>1-(((1-BQ14)*(5-1-1)))</f>
        <v>1</v>
      </c>
      <c r="BS14" s="41"/>
      <c r="BT14" s="32">
        <f t="shared" si="9"/>
        <v>0</v>
      </c>
      <c r="BU14" s="64">
        <f t="shared" si="10"/>
        <v>0</v>
      </c>
      <c r="BW14" s="401"/>
      <c r="BX14" s="401"/>
      <c r="BY14" s="5" t="s">
        <v>71</v>
      </c>
      <c r="BZ14" s="42">
        <v>0</v>
      </c>
      <c r="CA14" s="370">
        <v>0</v>
      </c>
      <c r="CB14" s="5" t="s">
        <v>72</v>
      </c>
      <c r="CC14" s="401"/>
      <c r="CD14" s="401"/>
      <c r="CE14" s="5" t="s">
        <v>71</v>
      </c>
      <c r="CF14" s="42">
        <v>0</v>
      </c>
      <c r="CG14" s="370">
        <v>0</v>
      </c>
      <c r="CH14" s="5" t="s">
        <v>72</v>
      </c>
    </row>
    <row r="15" spans="1:86" ht="20" customHeight="1">
      <c r="A15" s="31"/>
      <c r="B15" s="30"/>
      <c r="E15" s="363" t="s">
        <v>193</v>
      </c>
      <c r="F15" s="363"/>
      <c r="G15" s="330" t="s">
        <v>195</v>
      </c>
      <c r="H15" s="48">
        <f>VLOOKUP($G$15,$R$12:$S$13,2,FALSE)</f>
        <v>1</v>
      </c>
      <c r="K15" s="3"/>
      <c r="L15" s="3"/>
      <c r="M15" s="3"/>
      <c r="N15" s="3"/>
      <c r="O15" s="3"/>
      <c r="P15" s="3"/>
      <c r="R15" s="5"/>
      <c r="S15" s="20"/>
      <c r="U15" s="20"/>
      <c r="V15" s="20"/>
      <c r="W15" s="20"/>
      <c r="X15" s="20"/>
      <c r="Y15" s="22"/>
      <c r="Z15" s="27"/>
      <c r="AA15" s="88"/>
      <c r="AB15" s="22"/>
      <c r="AD15" s="30"/>
      <c r="AE15" s="31"/>
      <c r="AF15" s="31"/>
      <c r="AG15" s="370"/>
      <c r="AH15" s="370"/>
      <c r="AI15" s="370"/>
      <c r="AJ15" s="211"/>
      <c r="AK15" s="211"/>
      <c r="AL15" s="211"/>
      <c r="AM15" s="211"/>
      <c r="AN15" s="215"/>
      <c r="AO15" s="216"/>
      <c r="AP15" s="41"/>
      <c r="AQ15" s="30"/>
      <c r="AR15" s="31"/>
      <c r="AT15" s="366"/>
      <c r="AU15" s="366"/>
      <c r="AV15" s="5"/>
      <c r="AW15" s="42"/>
      <c r="AX15" s="370"/>
      <c r="AY15" s="5"/>
      <c r="AZ15" s="366"/>
      <c r="BA15" s="366"/>
      <c r="BB15" s="5"/>
      <c r="BC15" s="42"/>
      <c r="BD15" s="370"/>
      <c r="BE15" s="5"/>
      <c r="BG15" s="30"/>
      <c r="BH15" s="63"/>
      <c r="BI15" s="31"/>
      <c r="BJ15" s="370"/>
      <c r="BK15" s="370"/>
      <c r="BL15" s="370"/>
      <c r="BM15" s="38"/>
      <c r="BN15" s="38"/>
      <c r="BO15" s="38"/>
      <c r="BP15" s="38"/>
      <c r="BQ15" s="370"/>
      <c r="BR15" s="46"/>
      <c r="BS15" s="41"/>
      <c r="BT15" s="30"/>
      <c r="BU15" s="63"/>
      <c r="BW15" s="366"/>
      <c r="BX15" s="366"/>
      <c r="BY15" s="5"/>
      <c r="BZ15" s="42"/>
      <c r="CA15" s="370"/>
      <c r="CB15" s="5"/>
      <c r="CC15" s="366"/>
      <c r="CD15" s="366"/>
      <c r="CE15" s="5"/>
      <c r="CF15" s="42"/>
      <c r="CG15" s="370"/>
      <c r="CH15" s="5"/>
    </row>
    <row r="16" spans="1:86" ht="20" customHeight="1" thickBot="1">
      <c r="A16" s="31"/>
      <c r="B16" s="30"/>
      <c r="D16" s="253"/>
      <c r="I16" s="70"/>
      <c r="J16" s="70"/>
      <c r="K16" s="237"/>
      <c r="L16" s="237"/>
      <c r="M16" s="237"/>
      <c r="N16" s="237"/>
      <c r="O16" s="237"/>
      <c r="P16" s="237"/>
      <c r="Q16" s="254"/>
      <c r="R16" s="17"/>
      <c r="S16" s="17"/>
      <c r="U16" s="20">
        <v>3</v>
      </c>
      <c r="V16" s="20">
        <v>11</v>
      </c>
      <c r="W16" s="20">
        <v>1</v>
      </c>
      <c r="X16" s="20">
        <f>SMALL($J$32:$J$36,W16)</f>
        <v>0</v>
      </c>
      <c r="Y16" s="22">
        <f>VLOOKUP(X16,$J$32:$K$36,2,FALSE)</f>
        <v>0</v>
      </c>
      <c r="Z16" s="27">
        <f t="array" ref="Z16:AA16">LINEST(Y16:Y17,X16:X17^{1})</f>
        <v>0</v>
      </c>
      <c r="AA16" s="88">
        <v>0</v>
      </c>
      <c r="AB16" s="22">
        <f t="shared" ref="AB16:AB35" si="14">(Z16*X16+AA16)-Y16</f>
        <v>0</v>
      </c>
      <c r="AD16" s="28">
        <f t="shared" ref="AD16:AD35" si="15">X16</f>
        <v>0</v>
      </c>
      <c r="AE16" s="29">
        <f>VLOOKUP(AD16,$J$32:$L$36,3,FALSE)</f>
        <v>0</v>
      </c>
      <c r="AF16" s="31"/>
      <c r="AG16" s="370">
        <v>4</v>
      </c>
      <c r="AH16" s="370">
        <v>11</v>
      </c>
      <c r="AI16" s="370" t="s">
        <v>59</v>
      </c>
      <c r="AJ16" s="211">
        <f t="array" ref="AJ16:AL16">LINEST(AE21:AE25,AD21:AD25^{1,2})</f>
        <v>0</v>
      </c>
      <c r="AK16" s="211">
        <v>0</v>
      </c>
      <c r="AL16" s="211">
        <v>0</v>
      </c>
      <c r="AM16" s="211"/>
      <c r="AN16" s="215">
        <f>BC12</f>
        <v>1</v>
      </c>
      <c r="AO16" s="216">
        <f>1-(((1-AN16)*(5-2-1)))</f>
        <v>1</v>
      </c>
      <c r="AP16" s="41"/>
      <c r="AQ16" s="28">
        <f t="shared" ref="AQ16:AQ35" si="16">X16</f>
        <v>0</v>
      </c>
      <c r="AR16" s="29">
        <f t="shared" ref="AR16:AR34" si="17">AE16</f>
        <v>0</v>
      </c>
      <c r="AT16" s="398"/>
      <c r="AU16" s="398"/>
      <c r="AV16" s="35"/>
      <c r="AW16" s="36"/>
      <c r="AX16" s="35"/>
      <c r="AY16" s="35"/>
      <c r="AZ16" s="398">
        <v>4</v>
      </c>
      <c r="BA16" s="398" t="s">
        <v>30</v>
      </c>
      <c r="BB16" s="35" t="s">
        <v>57</v>
      </c>
      <c r="BC16" s="36">
        <f t="array" ref="BC16:BD20">LINEST(AR21:AR25,AQ21:AQ25^{1,2,3},TRUE,TRUE)</f>
        <v>0</v>
      </c>
      <c r="BD16" s="35">
        <v>0</v>
      </c>
      <c r="BE16" s="35" t="s">
        <v>65</v>
      </c>
      <c r="BG16" s="30">
        <f t="shared" ref="BG16:BG35" si="18">X16</f>
        <v>0</v>
      </c>
      <c r="BH16" s="62">
        <f t="shared" ref="BH16:BH35" si="19">M32</f>
        <v>0</v>
      </c>
      <c r="BI16" s="31"/>
      <c r="BJ16" s="370">
        <v>4</v>
      </c>
      <c r="BK16" s="370">
        <v>11</v>
      </c>
      <c r="BL16" s="370" t="s">
        <v>59</v>
      </c>
      <c r="BM16" s="38">
        <f t="array" ref="BM16:BO16">LINEST(BH21:BH25,BG21:BG25^{1,2})</f>
        <v>0</v>
      </c>
      <c r="BN16" s="38">
        <v>0</v>
      </c>
      <c r="BO16" s="38">
        <v>0</v>
      </c>
      <c r="BP16" s="38"/>
      <c r="BQ16" s="370">
        <f>CF12</f>
        <v>1</v>
      </c>
      <c r="BR16" s="46">
        <f>1-(((1-BQ16)*(5-2-1)))</f>
        <v>1</v>
      </c>
      <c r="BS16" s="41"/>
      <c r="BT16" s="30">
        <f t="shared" ref="BT16:BT35" si="20">X16</f>
        <v>0</v>
      </c>
      <c r="BU16" s="63">
        <f t="shared" ref="BU16:BU35" si="21">BH16</f>
        <v>0</v>
      </c>
      <c r="BW16" s="398">
        <v>1</v>
      </c>
      <c r="BX16" s="398" t="s">
        <v>30</v>
      </c>
      <c r="BY16" s="35" t="s">
        <v>57</v>
      </c>
      <c r="BZ16" s="36">
        <f t="array" ref="BZ16:CA20">LINEST(BU5:BU9,BT5:BT9^{1,2,3},TRUE,TRUE)</f>
        <v>0</v>
      </c>
      <c r="CA16" s="35">
        <v>0</v>
      </c>
      <c r="CB16" s="35" t="s">
        <v>65</v>
      </c>
      <c r="CC16" s="398">
        <v>4</v>
      </c>
      <c r="CD16" s="398" t="s">
        <v>30</v>
      </c>
      <c r="CE16" s="35" t="s">
        <v>57</v>
      </c>
      <c r="CF16" s="36">
        <f t="array" ref="CF16:CG20">LINEST(BU21:BU25,BT21:BT25^{1,2,3},TRUE,TRUE)</f>
        <v>0</v>
      </c>
      <c r="CG16" s="35">
        <v>0</v>
      </c>
      <c r="CH16" s="35" t="s">
        <v>65</v>
      </c>
    </row>
    <row r="17" spans="1:88" ht="20" customHeight="1" thickBot="1">
      <c r="A17" s="22"/>
      <c r="B17" s="20"/>
      <c r="D17" s="408" t="s">
        <v>125</v>
      </c>
      <c r="E17" s="409"/>
      <c r="F17" s="409"/>
      <c r="G17" s="409"/>
      <c r="H17" s="409"/>
      <c r="I17" s="409"/>
      <c r="J17" s="409"/>
      <c r="K17" s="409"/>
      <c r="L17" s="409"/>
      <c r="M17" s="409"/>
      <c r="N17" s="409"/>
      <c r="O17" s="409"/>
      <c r="P17" s="409"/>
      <c r="Q17" s="410"/>
      <c r="R17" s="405" t="s">
        <v>97</v>
      </c>
      <c r="S17" s="405"/>
      <c r="U17" s="20">
        <v>3</v>
      </c>
      <c r="V17" s="20">
        <v>12</v>
      </c>
      <c r="W17" s="20">
        <v>2</v>
      </c>
      <c r="X17" s="20">
        <f t="shared" ref="X17:X20" si="22">SMALL($J$32:$J$36,W17)</f>
        <v>0</v>
      </c>
      <c r="Y17" s="22">
        <f t="shared" ref="Y17:Y20" si="23">VLOOKUP(X17,$J$32:$K$36,2,FALSE)</f>
        <v>0</v>
      </c>
      <c r="Z17" s="27">
        <f t="array" ref="Z17:AA17">LINEST(Y17:Y18,X17:X18^{1})</f>
        <v>0</v>
      </c>
      <c r="AA17" s="88">
        <v>0</v>
      </c>
      <c r="AB17" s="22">
        <f t="shared" si="14"/>
        <v>0</v>
      </c>
      <c r="AD17" s="30">
        <f t="shared" si="15"/>
        <v>0</v>
      </c>
      <c r="AE17" s="31">
        <f t="shared" ref="AE17:AE19" si="24">VLOOKUP(AD17,$J$32:$L$36,3,FALSE)</f>
        <v>0</v>
      </c>
      <c r="AF17" s="31"/>
      <c r="AG17" s="39">
        <v>4</v>
      </c>
      <c r="AH17" s="39">
        <v>12</v>
      </c>
      <c r="AI17" s="39" t="s">
        <v>30</v>
      </c>
      <c r="AJ17" s="212">
        <f t="array" ref="AJ17:AM17">LINEST(AE21:AE25,AD21:AD25^{1,2,3})</f>
        <v>0</v>
      </c>
      <c r="AK17" s="212">
        <v>0</v>
      </c>
      <c r="AL17" s="212">
        <v>0</v>
      </c>
      <c r="AM17" s="212">
        <v>0</v>
      </c>
      <c r="AN17" s="217">
        <f>BC18</f>
        <v>1</v>
      </c>
      <c r="AO17" s="218">
        <f>1-(((1-AN17)*(5-3-1)))</f>
        <v>1</v>
      </c>
      <c r="AP17" s="41"/>
      <c r="AQ17" s="30">
        <f t="shared" si="16"/>
        <v>0</v>
      </c>
      <c r="AR17" s="31">
        <f t="shared" si="17"/>
        <v>0</v>
      </c>
      <c r="AT17" s="401"/>
      <c r="AU17" s="401"/>
      <c r="AV17" s="370"/>
      <c r="AW17" s="42"/>
      <c r="AX17" s="370"/>
      <c r="AY17" s="370"/>
      <c r="AZ17" s="401"/>
      <c r="BA17" s="401"/>
      <c r="BB17" s="370" t="s">
        <v>66</v>
      </c>
      <c r="BC17" s="42">
        <v>0</v>
      </c>
      <c r="BD17" s="370">
        <v>0</v>
      </c>
      <c r="BE17" s="370" t="s">
        <v>67</v>
      </c>
      <c r="BG17" s="30">
        <f t="shared" si="18"/>
        <v>0</v>
      </c>
      <c r="BH17" s="63">
        <f t="shared" si="19"/>
        <v>0</v>
      </c>
      <c r="BI17" s="31"/>
      <c r="BJ17" s="39">
        <v>4</v>
      </c>
      <c r="BK17" s="39">
        <v>12</v>
      </c>
      <c r="BL17" s="39" t="s">
        <v>30</v>
      </c>
      <c r="BM17" s="40">
        <f t="array" ref="BM17:BP17">LINEST(BH21:BH25,BG21:BG25^{1,2,3})</f>
        <v>0</v>
      </c>
      <c r="BN17" s="40">
        <v>0</v>
      </c>
      <c r="BO17" s="40">
        <v>0</v>
      </c>
      <c r="BP17" s="40">
        <v>0</v>
      </c>
      <c r="BQ17" s="39">
        <f>CF18</f>
        <v>1</v>
      </c>
      <c r="BR17" s="47">
        <f>1-(((1-BQ17)*(5-3-1)))</f>
        <v>1</v>
      </c>
      <c r="BS17" s="41"/>
      <c r="BT17" s="30">
        <f t="shared" si="20"/>
        <v>0</v>
      </c>
      <c r="BU17" s="63">
        <f t="shared" si="21"/>
        <v>0</v>
      </c>
      <c r="BW17" s="401"/>
      <c r="BX17" s="401"/>
      <c r="BY17" s="370" t="s">
        <v>66</v>
      </c>
      <c r="BZ17" s="42">
        <v>0</v>
      </c>
      <c r="CA17" s="370">
        <v>0</v>
      </c>
      <c r="CB17" s="370" t="s">
        <v>67</v>
      </c>
      <c r="CC17" s="401"/>
      <c r="CD17" s="401"/>
      <c r="CE17" s="370" t="s">
        <v>66</v>
      </c>
      <c r="CF17" s="42">
        <v>0</v>
      </c>
      <c r="CG17" s="370">
        <v>0</v>
      </c>
      <c r="CH17" s="370" t="s">
        <v>67</v>
      </c>
    </row>
    <row r="18" spans="1:88" ht="20" customHeight="1">
      <c r="A18" s="22"/>
      <c r="B18" s="20"/>
      <c r="R18" s="21" t="s">
        <v>76</v>
      </c>
      <c r="S18" s="11">
        <f>MAX(L7:L12)</f>
        <v>0</v>
      </c>
      <c r="U18" s="20">
        <v>3</v>
      </c>
      <c r="V18" s="20">
        <v>13</v>
      </c>
      <c r="W18" s="20">
        <v>3</v>
      </c>
      <c r="X18" s="20">
        <f t="shared" si="22"/>
        <v>0</v>
      </c>
      <c r="Y18" s="22">
        <f t="shared" si="23"/>
        <v>0</v>
      </c>
      <c r="Z18" s="27">
        <f t="array" ref="Z18:AA18">LINEST(Y18:Y19,X18:X19^{1})</f>
        <v>0</v>
      </c>
      <c r="AA18" s="88">
        <v>0</v>
      </c>
      <c r="AB18" s="22">
        <f t="shared" si="14"/>
        <v>0</v>
      </c>
      <c r="AD18" s="30">
        <f t="shared" si="15"/>
        <v>0</v>
      </c>
      <c r="AE18" s="31">
        <f t="shared" si="24"/>
        <v>0</v>
      </c>
      <c r="AF18" s="31"/>
      <c r="AG18" s="35">
        <v>5</v>
      </c>
      <c r="AH18" s="35">
        <v>13</v>
      </c>
      <c r="AI18" s="35" t="s">
        <v>29</v>
      </c>
      <c r="AJ18" s="211">
        <f t="array" ref="AJ18:AK18">LINEST(AE26:AE30,AD26:AD30^{1})</f>
        <v>0</v>
      </c>
      <c r="AK18" s="210">
        <v>0</v>
      </c>
      <c r="AL18" s="210"/>
      <c r="AM18" s="210"/>
      <c r="AN18" s="213">
        <f>BC23</f>
        <v>1</v>
      </c>
      <c r="AO18" s="214">
        <f>1-(((1-AN18)*(5-1-1)))</f>
        <v>1</v>
      </c>
      <c r="AP18" s="41"/>
      <c r="AQ18" s="30">
        <f t="shared" si="16"/>
        <v>0</v>
      </c>
      <c r="AR18" s="31">
        <f t="shared" si="17"/>
        <v>0</v>
      </c>
      <c r="AT18" s="401"/>
      <c r="AU18" s="401"/>
      <c r="AV18" s="370"/>
      <c r="AW18" s="42"/>
      <c r="AX18" s="370"/>
      <c r="AY18" s="370"/>
      <c r="AZ18" s="401"/>
      <c r="BA18" s="401"/>
      <c r="BB18" s="370" t="s">
        <v>31</v>
      </c>
      <c r="BC18" s="42">
        <v>1</v>
      </c>
      <c r="BD18" s="370">
        <v>0</v>
      </c>
      <c r="BE18" s="370" t="s">
        <v>68</v>
      </c>
      <c r="BG18" s="30">
        <f t="shared" si="18"/>
        <v>0</v>
      </c>
      <c r="BH18" s="63">
        <f t="shared" si="19"/>
        <v>0</v>
      </c>
      <c r="BI18" s="31"/>
      <c r="BJ18" s="35">
        <v>5</v>
      </c>
      <c r="BK18" s="35">
        <v>13</v>
      </c>
      <c r="BL18" s="35" t="s">
        <v>29</v>
      </c>
      <c r="BM18" s="38">
        <f t="array" ref="BM18:BN18">LINEST(BH26:BH30,BG26:BG30^{1})</f>
        <v>0</v>
      </c>
      <c r="BN18" s="36">
        <v>0</v>
      </c>
      <c r="BO18" s="36"/>
      <c r="BP18" s="36"/>
      <c r="BQ18" s="35">
        <f>CF23</f>
        <v>1</v>
      </c>
      <c r="BR18" s="45">
        <f>1-(((1-BQ18)*(5-1-1)))</f>
        <v>1</v>
      </c>
      <c r="BS18" s="41"/>
      <c r="BT18" s="30">
        <f t="shared" si="20"/>
        <v>0</v>
      </c>
      <c r="BU18" s="63">
        <f t="shared" si="21"/>
        <v>0</v>
      </c>
      <c r="BW18" s="401"/>
      <c r="BX18" s="401"/>
      <c r="BY18" s="370" t="s">
        <v>31</v>
      </c>
      <c r="BZ18" s="42">
        <v>1</v>
      </c>
      <c r="CA18" s="370">
        <v>0</v>
      </c>
      <c r="CB18" s="370" t="s">
        <v>68</v>
      </c>
      <c r="CC18" s="401"/>
      <c r="CD18" s="401"/>
      <c r="CE18" s="370" t="s">
        <v>31</v>
      </c>
      <c r="CF18" s="42">
        <v>1</v>
      </c>
      <c r="CG18" s="370">
        <v>0</v>
      </c>
      <c r="CH18" s="370" t="s">
        <v>68</v>
      </c>
    </row>
    <row r="19" spans="1:88" ht="20" customHeight="1">
      <c r="A19" s="22"/>
      <c r="B19" s="20"/>
      <c r="D19" s="411" t="s">
        <v>115</v>
      </c>
      <c r="E19" s="411"/>
      <c r="F19" s="412"/>
      <c r="G19" s="331" t="s">
        <v>48</v>
      </c>
      <c r="H19" s="48">
        <f>VLOOKUP($G$19,$R$4:$S$5,2,FALSE)</f>
        <v>1</v>
      </c>
      <c r="R19" s="17"/>
      <c r="S19" s="17"/>
      <c r="U19" s="20">
        <v>3</v>
      </c>
      <c r="V19" s="20">
        <v>14</v>
      </c>
      <c r="W19" s="20">
        <v>4</v>
      </c>
      <c r="X19" s="20">
        <f t="shared" si="22"/>
        <v>0</v>
      </c>
      <c r="Y19" s="22">
        <f t="shared" si="23"/>
        <v>0</v>
      </c>
      <c r="Z19" s="27">
        <f t="array" ref="Z19:AA19">LINEST(Y19:Y20,X19:X20^{1})</f>
        <v>0</v>
      </c>
      <c r="AA19" s="88">
        <v>0</v>
      </c>
      <c r="AB19" s="22">
        <f t="shared" si="14"/>
        <v>0</v>
      </c>
      <c r="AD19" s="30">
        <f t="shared" si="15"/>
        <v>0</v>
      </c>
      <c r="AE19" s="31">
        <f t="shared" si="24"/>
        <v>0</v>
      </c>
      <c r="AF19" s="31"/>
      <c r="AG19" s="370">
        <v>5</v>
      </c>
      <c r="AH19" s="370">
        <v>14</v>
      </c>
      <c r="AI19" s="370" t="s">
        <v>59</v>
      </c>
      <c r="AJ19" s="211">
        <f t="array" ref="AJ19:AL19">LINEST(AE26:AE30,AD26:AD30^{1,2})</f>
        <v>0</v>
      </c>
      <c r="AK19" s="211">
        <v>0</v>
      </c>
      <c r="AL19" s="211">
        <v>0</v>
      </c>
      <c r="AM19" s="211"/>
      <c r="AN19" s="215">
        <f>BC28</f>
        <v>1</v>
      </c>
      <c r="AO19" s="216">
        <f>1-(((1-AN19)*(5-2-1)))</f>
        <v>1</v>
      </c>
      <c r="AP19" s="41"/>
      <c r="AQ19" s="30">
        <f t="shared" si="16"/>
        <v>0</v>
      </c>
      <c r="AR19" s="31">
        <f t="shared" si="17"/>
        <v>0</v>
      </c>
      <c r="AT19" s="401"/>
      <c r="AU19" s="401"/>
      <c r="AV19" s="370"/>
      <c r="AW19" s="42"/>
      <c r="AX19" s="370"/>
      <c r="AY19" s="370"/>
      <c r="AZ19" s="401"/>
      <c r="BA19" s="401"/>
      <c r="BB19" s="370" t="s">
        <v>69</v>
      </c>
      <c r="BC19" s="42" t="e">
        <v>#NUM!</v>
      </c>
      <c r="BD19" s="370">
        <v>1</v>
      </c>
      <c r="BE19" s="370" t="s">
        <v>70</v>
      </c>
      <c r="BG19" s="30">
        <f t="shared" si="18"/>
        <v>0</v>
      </c>
      <c r="BH19" s="63">
        <f t="shared" si="19"/>
        <v>0</v>
      </c>
      <c r="BI19" s="31"/>
      <c r="BJ19" s="370">
        <v>5</v>
      </c>
      <c r="BK19" s="370">
        <v>14</v>
      </c>
      <c r="BL19" s="370" t="s">
        <v>59</v>
      </c>
      <c r="BM19" s="38">
        <f t="array" ref="BM19:BO19">LINEST(BH26:BH30,BG26:BG30^{1,2})</f>
        <v>0</v>
      </c>
      <c r="BN19" s="38">
        <v>0</v>
      </c>
      <c r="BO19" s="38">
        <v>0</v>
      </c>
      <c r="BP19" s="38"/>
      <c r="BQ19" s="370">
        <f>CF28</f>
        <v>1</v>
      </c>
      <c r="BR19" s="46">
        <f>1-(((1-BQ19)*(5-2-1)))</f>
        <v>1</v>
      </c>
      <c r="BS19" s="41"/>
      <c r="BT19" s="30">
        <f t="shared" si="20"/>
        <v>0</v>
      </c>
      <c r="BU19" s="63">
        <f t="shared" si="21"/>
        <v>0</v>
      </c>
      <c r="BW19" s="401"/>
      <c r="BX19" s="401"/>
      <c r="BY19" s="370" t="s">
        <v>69</v>
      </c>
      <c r="BZ19" s="42" t="e">
        <v>#NUM!</v>
      </c>
      <c r="CA19" s="370">
        <v>1</v>
      </c>
      <c r="CB19" s="370" t="s">
        <v>70</v>
      </c>
      <c r="CC19" s="401"/>
      <c r="CD19" s="401"/>
      <c r="CE19" s="370" t="s">
        <v>69</v>
      </c>
      <c r="CF19" s="42" t="e">
        <v>#NUM!</v>
      </c>
      <c r="CG19" s="370">
        <v>1</v>
      </c>
      <c r="CH19" s="370" t="s">
        <v>70</v>
      </c>
    </row>
    <row r="20" spans="1:88" ht="20" customHeight="1">
      <c r="R20" s="403" t="s">
        <v>116</v>
      </c>
      <c r="S20" s="403"/>
      <c r="U20" s="20">
        <v>3</v>
      </c>
      <c r="V20" s="20">
        <v>15</v>
      </c>
      <c r="W20" s="20">
        <v>5</v>
      </c>
      <c r="X20" s="20">
        <f t="shared" si="22"/>
        <v>0</v>
      </c>
      <c r="Y20" s="22">
        <f t="shared" si="23"/>
        <v>0</v>
      </c>
      <c r="Z20" s="27">
        <f t="array" ref="Z20:AA20">LINEST(Y19:Y20,X19:X20^{1})</f>
        <v>0</v>
      </c>
      <c r="AA20" s="88">
        <v>0</v>
      </c>
      <c r="AB20" s="22">
        <f t="shared" si="14"/>
        <v>0</v>
      </c>
      <c r="AD20" s="32">
        <f t="shared" si="15"/>
        <v>0</v>
      </c>
      <c r="AE20" s="31">
        <f>VLOOKUP(AD20,$J$32:$L$36,3,FALSE)</f>
        <v>0</v>
      </c>
      <c r="AF20" s="33"/>
      <c r="AG20" s="39">
        <v>5</v>
      </c>
      <c r="AH20" s="39">
        <v>15</v>
      </c>
      <c r="AI20" s="39" t="s">
        <v>30</v>
      </c>
      <c r="AJ20" s="212">
        <f t="array" ref="AJ20:AM20">LINEST(AE26:AE30,AD26:AD30^{1,2,3})</f>
        <v>0</v>
      </c>
      <c r="AK20" s="212">
        <v>0</v>
      </c>
      <c r="AL20" s="212">
        <v>0</v>
      </c>
      <c r="AM20" s="212">
        <v>0</v>
      </c>
      <c r="AN20" s="217">
        <f>BC33</f>
        <v>1</v>
      </c>
      <c r="AO20" s="218">
        <f>1-(((1-AN20)*(5-3-1)))</f>
        <v>1</v>
      </c>
      <c r="AP20" s="41"/>
      <c r="AQ20" s="32">
        <f t="shared" si="16"/>
        <v>0</v>
      </c>
      <c r="AR20" s="33">
        <f t="shared" si="17"/>
        <v>0</v>
      </c>
      <c r="AT20" s="400"/>
      <c r="AU20" s="400"/>
      <c r="AV20" s="39"/>
      <c r="AW20" s="43"/>
      <c r="AX20" s="39"/>
      <c r="AY20" s="39"/>
      <c r="AZ20" s="400"/>
      <c r="BA20" s="400"/>
      <c r="BB20" s="39" t="s">
        <v>71</v>
      </c>
      <c r="BC20" s="43">
        <v>0</v>
      </c>
      <c r="BD20" s="39">
        <v>0</v>
      </c>
      <c r="BE20" s="39" t="s">
        <v>72</v>
      </c>
      <c r="BG20" s="30">
        <f t="shared" si="18"/>
        <v>0</v>
      </c>
      <c r="BH20" s="64">
        <f t="shared" si="19"/>
        <v>0</v>
      </c>
      <c r="BI20" s="33"/>
      <c r="BJ20" s="39">
        <v>5</v>
      </c>
      <c r="BK20" s="39">
        <v>15</v>
      </c>
      <c r="BL20" s="39" t="s">
        <v>30</v>
      </c>
      <c r="BM20" s="40">
        <f t="array" ref="BM20:BP20">LINEST(BH26:BH30,BG26:BG30^{1,2,3})</f>
        <v>0</v>
      </c>
      <c r="BN20" s="40">
        <v>0</v>
      </c>
      <c r="BO20" s="40">
        <v>0</v>
      </c>
      <c r="BP20" s="40">
        <v>0</v>
      </c>
      <c r="BQ20" s="39">
        <f>CF33</f>
        <v>1</v>
      </c>
      <c r="BR20" s="47">
        <f>1-(((1-BQ20)*(5-3-1)))</f>
        <v>1</v>
      </c>
      <c r="BS20" s="41"/>
      <c r="BT20" s="30">
        <f t="shared" si="20"/>
        <v>0</v>
      </c>
      <c r="BU20" s="63">
        <f t="shared" si="21"/>
        <v>0</v>
      </c>
      <c r="BW20" s="400"/>
      <c r="BX20" s="400"/>
      <c r="BY20" s="39" t="s">
        <v>71</v>
      </c>
      <c r="BZ20" s="43">
        <v>0</v>
      </c>
      <c r="CA20" s="39">
        <v>0</v>
      </c>
      <c r="CB20" s="39" t="s">
        <v>72</v>
      </c>
      <c r="CC20" s="400"/>
      <c r="CD20" s="400"/>
      <c r="CE20" s="39" t="s">
        <v>71</v>
      </c>
      <c r="CF20" s="43">
        <v>0</v>
      </c>
      <c r="CG20" s="39">
        <v>0</v>
      </c>
      <c r="CH20" s="39" t="s">
        <v>72</v>
      </c>
    </row>
    <row r="21" spans="1:88" ht="20" customHeight="1">
      <c r="A21" s="31" t="s">
        <v>172</v>
      </c>
      <c r="B21" s="31" t="s">
        <v>173</v>
      </c>
      <c r="E21" s="16"/>
      <c r="F21" s="404" t="s">
        <v>8</v>
      </c>
      <c r="G21" s="404"/>
      <c r="H21" s="371" t="s">
        <v>9</v>
      </c>
      <c r="I21" s="371" t="s">
        <v>10</v>
      </c>
      <c r="J21" s="374" t="s">
        <v>273</v>
      </c>
      <c r="K21" s="374" t="s">
        <v>272</v>
      </c>
      <c r="L21" s="371" t="s">
        <v>2</v>
      </c>
      <c r="M21" s="78" t="s">
        <v>85</v>
      </c>
      <c r="N21" s="61" t="b">
        <f>$H$19=2</f>
        <v>0</v>
      </c>
      <c r="O21" s="230"/>
      <c r="P21" s="230"/>
      <c r="Q21" s="230"/>
      <c r="R21" s="21" t="s">
        <v>117</v>
      </c>
      <c r="S21" s="21">
        <v>1</v>
      </c>
      <c r="U21" s="20">
        <v>4</v>
      </c>
      <c r="V21" s="20">
        <v>16</v>
      </c>
      <c r="W21" s="20">
        <v>1</v>
      </c>
      <c r="X21" s="20">
        <f>SMALL($J$37:$J$41,W21)</f>
        <v>0</v>
      </c>
      <c r="Y21" s="22">
        <f>VLOOKUP(X21,$J$37:$K$41,2,FALSE)</f>
        <v>0</v>
      </c>
      <c r="Z21" s="27">
        <f t="array" ref="Z21:AA21">LINEST(Y21:Y22,X21:X22^{1})</f>
        <v>0</v>
      </c>
      <c r="AA21" s="88">
        <v>0</v>
      </c>
      <c r="AB21" s="22">
        <f t="shared" si="14"/>
        <v>0</v>
      </c>
      <c r="AD21" s="28">
        <f t="shared" si="15"/>
        <v>0</v>
      </c>
      <c r="AE21" s="29">
        <f>VLOOKUP(AD21,$J$37:$L$41,3,FALSE)</f>
        <v>0</v>
      </c>
      <c r="AF21" s="29"/>
      <c r="AG21" s="35">
        <v>6</v>
      </c>
      <c r="AH21" s="35">
        <v>16</v>
      </c>
      <c r="AI21" s="35" t="s">
        <v>29</v>
      </c>
      <c r="AJ21" s="211">
        <f t="array" ref="AJ21:AK21">LINEST(AE31:AE35,AD31:AD35^{1})</f>
        <v>0</v>
      </c>
      <c r="AK21" s="210">
        <v>0</v>
      </c>
      <c r="AL21" s="210"/>
      <c r="AM21" s="210"/>
      <c r="AN21" s="213">
        <f>BC38</f>
        <v>1</v>
      </c>
      <c r="AO21" s="214">
        <f>1-(((1-AN21)*(5-1-1)))</f>
        <v>1</v>
      </c>
      <c r="AP21" s="41"/>
      <c r="AQ21" s="28">
        <f t="shared" si="16"/>
        <v>0</v>
      </c>
      <c r="AR21" s="29">
        <f t="shared" si="17"/>
        <v>0</v>
      </c>
      <c r="AT21" s="398"/>
      <c r="AU21" s="398"/>
      <c r="AV21" s="5"/>
      <c r="AW21" s="38"/>
      <c r="AX21" s="370"/>
      <c r="AY21" s="5"/>
      <c r="AZ21" s="398">
        <v>5</v>
      </c>
      <c r="BA21" s="398" t="s">
        <v>29</v>
      </c>
      <c r="BB21" s="5" t="s">
        <v>57</v>
      </c>
      <c r="BC21" s="36">
        <f t="array" ref="BC21:BD25">LINEST(AR26:AR30,AQ26:AQ30^{1},TRUE,TRUE)</f>
        <v>0</v>
      </c>
      <c r="BD21" s="370">
        <v>0</v>
      </c>
      <c r="BE21" s="5" t="s">
        <v>65</v>
      </c>
      <c r="BG21" s="30">
        <f t="shared" si="18"/>
        <v>0</v>
      </c>
      <c r="BH21" s="62">
        <f t="shared" si="19"/>
        <v>0</v>
      </c>
      <c r="BI21" s="29"/>
      <c r="BJ21" s="35">
        <v>6</v>
      </c>
      <c r="BK21" s="35">
        <v>16</v>
      </c>
      <c r="BL21" s="35" t="s">
        <v>29</v>
      </c>
      <c r="BM21" s="38">
        <f t="array" ref="BM21:BN21">LINEST(BH31:BH35,BG31:BG35^{1})</f>
        <v>0</v>
      </c>
      <c r="BN21" s="36">
        <v>0</v>
      </c>
      <c r="BO21" s="36"/>
      <c r="BP21" s="36"/>
      <c r="BQ21" s="35">
        <f>CF38</f>
        <v>1</v>
      </c>
      <c r="BR21" s="45">
        <f>1-(((1-BQ21)*(5-1-1)))</f>
        <v>1</v>
      </c>
      <c r="BS21" s="41"/>
      <c r="BT21" s="28">
        <f t="shared" si="20"/>
        <v>0</v>
      </c>
      <c r="BU21" s="62">
        <f t="shared" si="21"/>
        <v>0</v>
      </c>
      <c r="BW21" s="398">
        <v>2</v>
      </c>
      <c r="BX21" s="398" t="s">
        <v>29</v>
      </c>
      <c r="BY21" s="5" t="s">
        <v>57</v>
      </c>
      <c r="BZ21" s="38">
        <f t="array" ref="BZ21:CA25">LINEST(BU10:BU14,BT10:BT14^{1},TRUE,TRUE)</f>
        <v>0</v>
      </c>
      <c r="CA21" s="370">
        <v>0</v>
      </c>
      <c r="CB21" s="5" t="s">
        <v>65</v>
      </c>
      <c r="CC21" s="398">
        <v>5</v>
      </c>
      <c r="CD21" s="398" t="s">
        <v>29</v>
      </c>
      <c r="CE21" s="5" t="s">
        <v>57</v>
      </c>
      <c r="CF21" s="36">
        <f t="array" ref="CF21:CG25">LINEST(BU26:BU30,BT26:BT30^{1},TRUE,TRUE)</f>
        <v>0</v>
      </c>
      <c r="CG21" s="370">
        <v>0</v>
      </c>
      <c r="CH21" s="5" t="s">
        <v>65</v>
      </c>
    </row>
    <row r="22" spans="1:88" ht="20" customHeight="1">
      <c r="A22" s="236">
        <f>N7</f>
        <v>0</v>
      </c>
      <c r="B22" s="356">
        <f>ABS($M$7-A22)</f>
        <v>0</v>
      </c>
      <c r="C22" s="279">
        <f>MIN(B22:B26)</f>
        <v>0</v>
      </c>
      <c r="D22" s="96"/>
      <c r="E22" s="234"/>
      <c r="F22" s="402">
        <v>1</v>
      </c>
      <c r="G22" s="402"/>
      <c r="H22" s="83" t="s">
        <v>42</v>
      </c>
      <c r="I22" s="104">
        <f>N7</f>
        <v>0</v>
      </c>
      <c r="J22" s="104">
        <f>ROUNDUP(I22,0)</f>
        <v>0</v>
      </c>
      <c r="K22" s="323"/>
      <c r="L22" s="233" t="s">
        <v>170</v>
      </c>
      <c r="M22" s="355"/>
      <c r="N22" s="242"/>
      <c r="O22" s="230"/>
      <c r="P22" s="230"/>
      <c r="Q22" s="230"/>
      <c r="R22" s="21" t="s">
        <v>118</v>
      </c>
      <c r="S22" s="21">
        <v>2</v>
      </c>
      <c r="U22" s="20">
        <v>4</v>
      </c>
      <c r="V22" s="20">
        <v>17</v>
      </c>
      <c r="W22" s="20">
        <v>2</v>
      </c>
      <c r="X22" s="20">
        <f t="shared" ref="X22:X25" si="25">SMALL($J$37:$J$41,W22)</f>
        <v>0</v>
      </c>
      <c r="Y22" s="22">
        <f t="shared" ref="Y22:Y25" si="26">VLOOKUP(X22,$J$37:$K$41,2,FALSE)</f>
        <v>0</v>
      </c>
      <c r="Z22" s="27">
        <f t="array" ref="Z22:AA22">LINEST(Y22:Y23,X22:X23^{1})</f>
        <v>0</v>
      </c>
      <c r="AA22" s="88">
        <v>0</v>
      </c>
      <c r="AB22" s="22">
        <f t="shared" si="14"/>
        <v>0</v>
      </c>
      <c r="AD22" s="30">
        <f t="shared" si="15"/>
        <v>0</v>
      </c>
      <c r="AE22" s="31">
        <f t="shared" ref="AE22:AE25" si="27">VLOOKUP(AD22,$J$37:$L$41,3,FALSE)</f>
        <v>0</v>
      </c>
      <c r="AF22" s="31"/>
      <c r="AG22" s="370">
        <v>6</v>
      </c>
      <c r="AH22" s="370">
        <v>17</v>
      </c>
      <c r="AI22" s="370" t="s">
        <v>59</v>
      </c>
      <c r="AJ22" s="211">
        <f t="array" ref="AJ22:AL22">LINEST(AE31:AE35,AD31:AD35^{1,2})</f>
        <v>0</v>
      </c>
      <c r="AK22" s="211">
        <v>0</v>
      </c>
      <c r="AL22" s="211">
        <v>0</v>
      </c>
      <c r="AM22" s="211"/>
      <c r="AN22" s="215">
        <f>BC43</f>
        <v>1</v>
      </c>
      <c r="AO22" s="216">
        <f>1-(((1-AN22)*(5-2-1)))</f>
        <v>1</v>
      </c>
      <c r="AP22" s="41"/>
      <c r="AQ22" s="30">
        <f t="shared" si="16"/>
        <v>0</v>
      </c>
      <c r="AR22" s="31">
        <f t="shared" si="17"/>
        <v>0</v>
      </c>
      <c r="AT22" s="399"/>
      <c r="AU22" s="399"/>
      <c r="AV22" s="5"/>
      <c r="AW22" s="42"/>
      <c r="AX22" s="370"/>
      <c r="AY22" s="5"/>
      <c r="AZ22" s="399"/>
      <c r="BA22" s="399"/>
      <c r="BB22" s="5" t="s">
        <v>66</v>
      </c>
      <c r="BC22" s="42">
        <v>0</v>
      </c>
      <c r="BD22" s="370">
        <v>0</v>
      </c>
      <c r="BE22" s="5" t="s">
        <v>67</v>
      </c>
      <c r="BG22" s="30">
        <f t="shared" si="18"/>
        <v>0</v>
      </c>
      <c r="BH22" s="63">
        <f t="shared" si="19"/>
        <v>0</v>
      </c>
      <c r="BI22" s="31"/>
      <c r="BJ22" s="370">
        <v>6</v>
      </c>
      <c r="BK22" s="370">
        <v>17</v>
      </c>
      <c r="BL22" s="370" t="s">
        <v>59</v>
      </c>
      <c r="BM22" s="38">
        <f t="array" ref="BM22:BO22">LINEST(BH31:BH35,BG31:BG35^{1,2})</f>
        <v>0</v>
      </c>
      <c r="BN22" s="38">
        <v>0</v>
      </c>
      <c r="BO22" s="38">
        <v>0</v>
      </c>
      <c r="BP22" s="38"/>
      <c r="BQ22" s="370">
        <f>CF43</f>
        <v>1</v>
      </c>
      <c r="BR22" s="46">
        <f>1-(((1-BQ22)*(5-2-1)))</f>
        <v>1</v>
      </c>
      <c r="BS22" s="41"/>
      <c r="BT22" s="30">
        <f t="shared" si="20"/>
        <v>0</v>
      </c>
      <c r="BU22" s="63">
        <f t="shared" si="21"/>
        <v>0</v>
      </c>
      <c r="BW22" s="399"/>
      <c r="BX22" s="399"/>
      <c r="BY22" s="5" t="s">
        <v>66</v>
      </c>
      <c r="BZ22" s="42">
        <v>0</v>
      </c>
      <c r="CA22" s="370">
        <v>0</v>
      </c>
      <c r="CB22" s="5" t="s">
        <v>67</v>
      </c>
      <c r="CC22" s="399"/>
      <c r="CD22" s="399"/>
      <c r="CE22" s="5" t="s">
        <v>66</v>
      </c>
      <c r="CF22" s="42">
        <v>0</v>
      </c>
      <c r="CG22" s="370">
        <v>0</v>
      </c>
      <c r="CH22" s="5" t="s">
        <v>67</v>
      </c>
      <c r="CJ22" s="358"/>
    </row>
    <row r="23" spans="1:88" ht="20" customHeight="1">
      <c r="A23" s="236">
        <f>A22*0.76+A26*0.24</f>
        <v>0</v>
      </c>
      <c r="B23" s="356">
        <f>ABS($M$7-A23)</f>
        <v>0</v>
      </c>
      <c r="C23" s="357"/>
      <c r="D23" s="96"/>
      <c r="E23" s="234"/>
      <c r="F23" s="402"/>
      <c r="G23" s="402"/>
      <c r="H23" s="83" t="s">
        <v>98</v>
      </c>
      <c r="I23" s="227">
        <f>IF(M7=N7,A23,N23)</f>
        <v>0</v>
      </c>
      <c r="J23" s="104">
        <f t="shared" ref="J23:J26" si="28">ROUNDUP(I23,0)</f>
        <v>0</v>
      </c>
      <c r="K23" s="323"/>
      <c r="L23" s="233" t="s">
        <v>170</v>
      </c>
      <c r="M23" s="355"/>
      <c r="N23" s="239">
        <f>IF(B22=B23,$M$7,IF(B22=$C$22,$M$7, IF(B23&lt;=$C$22, $M$7,A23)))</f>
        <v>0</v>
      </c>
      <c r="O23" s="230"/>
      <c r="P23" s="230"/>
      <c r="Q23" s="230"/>
      <c r="R23" s="17"/>
      <c r="S23" s="21"/>
      <c r="U23" s="20">
        <v>4</v>
      </c>
      <c r="V23" s="20">
        <v>18</v>
      </c>
      <c r="W23" s="20">
        <v>3</v>
      </c>
      <c r="X23" s="20">
        <f t="shared" si="25"/>
        <v>0</v>
      </c>
      <c r="Y23" s="22">
        <f t="shared" si="26"/>
        <v>0</v>
      </c>
      <c r="Z23" s="27">
        <f t="array" ref="Z23:AA23">LINEST(Y23:Y24,X23:X24^{1})</f>
        <v>0</v>
      </c>
      <c r="AA23" s="88">
        <v>0</v>
      </c>
      <c r="AB23" s="22">
        <f t="shared" si="14"/>
        <v>0</v>
      </c>
      <c r="AD23" s="30">
        <f t="shared" si="15"/>
        <v>0</v>
      </c>
      <c r="AE23" s="31">
        <f t="shared" si="27"/>
        <v>0</v>
      </c>
      <c r="AF23" s="31"/>
      <c r="AG23" s="39">
        <v>6</v>
      </c>
      <c r="AH23" s="39">
        <v>18</v>
      </c>
      <c r="AI23" s="39" t="s">
        <v>30</v>
      </c>
      <c r="AJ23" s="212">
        <f t="array" ref="AJ23:AM23">LINEST(AE31:AE35,AD31:AD35^{1,2,3})</f>
        <v>0</v>
      </c>
      <c r="AK23" s="212">
        <v>0</v>
      </c>
      <c r="AL23" s="212">
        <v>0</v>
      </c>
      <c r="AM23" s="212">
        <v>0</v>
      </c>
      <c r="AN23" s="217">
        <f>BC48</f>
        <v>1</v>
      </c>
      <c r="AO23" s="218">
        <f>1-(((1-AN23)*(5-3-1)))</f>
        <v>1</v>
      </c>
      <c r="AP23" s="41"/>
      <c r="AQ23" s="30">
        <f t="shared" si="16"/>
        <v>0</v>
      </c>
      <c r="AR23" s="31">
        <f t="shared" si="17"/>
        <v>0</v>
      </c>
      <c r="AT23" s="399"/>
      <c r="AU23" s="399"/>
      <c r="AV23" s="5"/>
      <c r="AW23" s="42"/>
      <c r="AX23" s="370"/>
      <c r="AY23" s="5"/>
      <c r="AZ23" s="399"/>
      <c r="BA23" s="399"/>
      <c r="BB23" s="5" t="s">
        <v>31</v>
      </c>
      <c r="BC23" s="42">
        <v>1</v>
      </c>
      <c r="BD23" s="370">
        <v>0</v>
      </c>
      <c r="BE23" s="5" t="s">
        <v>68</v>
      </c>
      <c r="BG23" s="30">
        <f t="shared" si="18"/>
        <v>0</v>
      </c>
      <c r="BH23" s="63">
        <f t="shared" si="19"/>
        <v>0</v>
      </c>
      <c r="BI23" s="31"/>
      <c r="BJ23" s="39">
        <v>6</v>
      </c>
      <c r="BK23" s="39">
        <v>18</v>
      </c>
      <c r="BL23" s="39" t="s">
        <v>30</v>
      </c>
      <c r="BM23" s="40">
        <f t="array" ref="BM23:BP23">LINEST(BH31:BH35,BG31:BG35^{1,2,3})</f>
        <v>0</v>
      </c>
      <c r="BN23" s="40">
        <v>0</v>
      </c>
      <c r="BO23" s="40">
        <v>0</v>
      </c>
      <c r="BP23" s="40">
        <v>0</v>
      </c>
      <c r="BQ23" s="39">
        <f>CF48</f>
        <v>1</v>
      </c>
      <c r="BR23" s="47">
        <f>1-(((1-BQ23)*(5-3-1)))</f>
        <v>1</v>
      </c>
      <c r="BS23" s="41"/>
      <c r="BT23" s="30">
        <f t="shared" si="20"/>
        <v>0</v>
      </c>
      <c r="BU23" s="63">
        <f t="shared" si="21"/>
        <v>0</v>
      </c>
      <c r="BW23" s="399"/>
      <c r="BX23" s="399"/>
      <c r="BY23" s="5" t="s">
        <v>31</v>
      </c>
      <c r="BZ23" s="42">
        <v>1</v>
      </c>
      <c r="CA23" s="370">
        <v>0</v>
      </c>
      <c r="CB23" s="5" t="s">
        <v>68</v>
      </c>
      <c r="CC23" s="399"/>
      <c r="CD23" s="399"/>
      <c r="CE23" s="5" t="s">
        <v>31</v>
      </c>
      <c r="CF23" s="42">
        <v>1</v>
      </c>
      <c r="CG23" s="370">
        <v>0</v>
      </c>
      <c r="CH23" s="5" t="s">
        <v>68</v>
      </c>
      <c r="CJ23" s="358"/>
    </row>
    <row r="24" spans="1:88" ht="20" customHeight="1">
      <c r="A24" s="236">
        <f>A22*0.5+A26*0.5</f>
        <v>0</v>
      </c>
      <c r="B24" s="356">
        <f>ABS($M$7-A24)</f>
        <v>0</v>
      </c>
      <c r="C24" s="357"/>
      <c r="D24" s="96"/>
      <c r="E24" s="234"/>
      <c r="F24" s="402"/>
      <c r="G24" s="402"/>
      <c r="H24" s="83" t="s">
        <v>98</v>
      </c>
      <c r="I24" s="227">
        <f>IF(B24&lt;=$C$22,$M$7,A24)</f>
        <v>0</v>
      </c>
      <c r="J24" s="104">
        <f t="shared" si="28"/>
        <v>0</v>
      </c>
      <c r="K24" s="323"/>
      <c r="L24" s="233" t="s">
        <v>170</v>
      </c>
      <c r="M24" s="355"/>
      <c r="N24" s="239"/>
      <c r="O24" s="230"/>
      <c r="P24" s="230"/>
      <c r="Q24" s="230"/>
      <c r="R24" s="403" t="s">
        <v>119</v>
      </c>
      <c r="S24" s="403"/>
      <c r="U24" s="20">
        <v>4</v>
      </c>
      <c r="V24" s="20">
        <v>19</v>
      </c>
      <c r="W24" s="20">
        <v>4</v>
      </c>
      <c r="X24" s="20">
        <f t="shared" si="25"/>
        <v>0</v>
      </c>
      <c r="Y24" s="22">
        <f t="shared" si="26"/>
        <v>0</v>
      </c>
      <c r="Z24" s="27">
        <f t="array" ref="Z24:AA24">LINEST(Y24:Y25,X24:X25^{1})</f>
        <v>0</v>
      </c>
      <c r="AA24" s="88">
        <v>0</v>
      </c>
      <c r="AB24" s="22">
        <f t="shared" si="14"/>
        <v>0</v>
      </c>
      <c r="AD24" s="30">
        <f t="shared" si="15"/>
        <v>0</v>
      </c>
      <c r="AE24" s="31">
        <f t="shared" si="27"/>
        <v>0</v>
      </c>
      <c r="AF24" s="31"/>
      <c r="AG24" s="5"/>
      <c r="AH24" s="5"/>
      <c r="AI24" s="5"/>
      <c r="AJ24" s="34"/>
      <c r="AK24" s="34"/>
      <c r="AL24" s="34"/>
      <c r="AM24" s="34"/>
      <c r="AQ24" s="30">
        <f t="shared" si="16"/>
        <v>0</v>
      </c>
      <c r="AR24" s="31">
        <f t="shared" si="17"/>
        <v>0</v>
      </c>
      <c r="AT24" s="399"/>
      <c r="AU24" s="399"/>
      <c r="AV24" s="5"/>
      <c r="AW24" s="42"/>
      <c r="AX24" s="370"/>
      <c r="AY24" s="5"/>
      <c r="AZ24" s="399"/>
      <c r="BA24" s="399"/>
      <c r="BB24" s="5" t="s">
        <v>69</v>
      </c>
      <c r="BC24" s="42" t="e">
        <v>#NUM!</v>
      </c>
      <c r="BD24" s="370">
        <v>3</v>
      </c>
      <c r="BE24" s="5" t="s">
        <v>70</v>
      </c>
      <c r="BG24" s="30">
        <f t="shared" si="18"/>
        <v>0</v>
      </c>
      <c r="BH24" s="63">
        <f t="shared" si="19"/>
        <v>0</v>
      </c>
      <c r="BI24" s="31"/>
      <c r="BJ24" s="5"/>
      <c r="BK24" s="5"/>
      <c r="BL24" s="5"/>
      <c r="BM24" s="34"/>
      <c r="BN24" s="34"/>
      <c r="BO24" s="34"/>
      <c r="BP24" s="34"/>
      <c r="BQ24" s="5"/>
      <c r="BR24" s="17"/>
      <c r="BS24" s="17"/>
      <c r="BT24" s="30">
        <f t="shared" si="20"/>
        <v>0</v>
      </c>
      <c r="BU24" s="63">
        <f t="shared" si="21"/>
        <v>0</v>
      </c>
      <c r="BW24" s="399"/>
      <c r="BX24" s="399"/>
      <c r="BY24" s="5" t="s">
        <v>69</v>
      </c>
      <c r="BZ24" s="42" t="e">
        <v>#NUM!</v>
      </c>
      <c r="CA24" s="370">
        <v>3</v>
      </c>
      <c r="CB24" s="5" t="s">
        <v>70</v>
      </c>
      <c r="CC24" s="399"/>
      <c r="CD24" s="399"/>
      <c r="CE24" s="5" t="s">
        <v>69</v>
      </c>
      <c r="CF24" s="42" t="e">
        <v>#NUM!</v>
      </c>
      <c r="CG24" s="370">
        <v>3</v>
      </c>
      <c r="CH24" s="5" t="s">
        <v>70</v>
      </c>
      <c r="CJ24" s="358"/>
    </row>
    <row r="25" spans="1:88" ht="20" customHeight="1">
      <c r="A25" s="236">
        <f>A22*0.26+A26*0.74</f>
        <v>0</v>
      </c>
      <c r="B25" s="356">
        <f>ABS($M$7-A25)</f>
        <v>0</v>
      </c>
      <c r="C25" s="357"/>
      <c r="D25" s="96"/>
      <c r="E25" s="234"/>
      <c r="F25" s="402"/>
      <c r="G25" s="402"/>
      <c r="H25" s="83" t="s">
        <v>98</v>
      </c>
      <c r="I25" s="227">
        <f>IF(M7=O7,A25,N25)</f>
        <v>0</v>
      </c>
      <c r="J25" s="104">
        <f t="shared" si="28"/>
        <v>0</v>
      </c>
      <c r="K25" s="323"/>
      <c r="L25" s="233" t="s">
        <v>170</v>
      </c>
      <c r="M25" s="355"/>
      <c r="N25" s="239">
        <f>IF(B25=B26,$M$7, IF(B26=$C$22,$M$7, IF(B25&lt;=$C$22,$M$7,A25)))</f>
        <v>0</v>
      </c>
      <c r="O25" s="230"/>
      <c r="P25" s="230"/>
      <c r="Q25" s="230"/>
      <c r="R25" s="21" t="s">
        <v>114</v>
      </c>
      <c r="S25" s="21">
        <v>2</v>
      </c>
      <c r="U25" s="20">
        <v>4</v>
      </c>
      <c r="V25" s="20">
        <v>20</v>
      </c>
      <c r="W25" s="20">
        <v>5</v>
      </c>
      <c r="X25" s="20">
        <f t="shared" si="25"/>
        <v>0</v>
      </c>
      <c r="Y25" s="22">
        <f t="shared" si="26"/>
        <v>0</v>
      </c>
      <c r="Z25" s="27">
        <f t="array" ref="Z25:AA25">LINEST(Y24:Y25,X24:X25^{1})</f>
        <v>0</v>
      </c>
      <c r="AA25" s="88">
        <v>0</v>
      </c>
      <c r="AB25" s="22">
        <f t="shared" si="14"/>
        <v>0</v>
      </c>
      <c r="AD25" s="32">
        <f t="shared" si="15"/>
        <v>0</v>
      </c>
      <c r="AE25" s="31">
        <f t="shared" si="27"/>
        <v>0</v>
      </c>
      <c r="AF25" s="31"/>
      <c r="AG25" s="5"/>
      <c r="AH25" s="5"/>
      <c r="AI25" s="5"/>
      <c r="AJ25" s="34"/>
      <c r="AK25" s="34"/>
      <c r="AL25" s="34"/>
      <c r="AM25" s="34"/>
      <c r="AQ25" s="32">
        <f t="shared" si="16"/>
        <v>0</v>
      </c>
      <c r="AR25" s="33">
        <f t="shared" si="17"/>
        <v>0</v>
      </c>
      <c r="AT25" s="400"/>
      <c r="AU25" s="400"/>
      <c r="AV25" s="5"/>
      <c r="AW25" s="43"/>
      <c r="AX25" s="370"/>
      <c r="AY25" s="5"/>
      <c r="AZ25" s="400"/>
      <c r="BA25" s="400"/>
      <c r="BB25" s="5" t="s">
        <v>71</v>
      </c>
      <c r="BC25" s="43">
        <v>0</v>
      </c>
      <c r="BD25" s="370">
        <v>0</v>
      </c>
      <c r="BE25" s="5" t="s">
        <v>72</v>
      </c>
      <c r="BG25" s="30">
        <f t="shared" si="18"/>
        <v>0</v>
      </c>
      <c r="BH25" s="64">
        <f t="shared" si="19"/>
        <v>0</v>
      </c>
      <c r="BI25" s="31"/>
      <c r="BJ25" s="5"/>
      <c r="BK25" s="5"/>
      <c r="BL25" s="5"/>
      <c r="BM25" s="34"/>
      <c r="BN25" s="34"/>
      <c r="BO25" s="34"/>
      <c r="BP25" s="34"/>
      <c r="BQ25" s="5"/>
      <c r="BR25" s="17"/>
      <c r="BS25" s="17"/>
      <c r="BT25" s="32">
        <f t="shared" si="20"/>
        <v>0</v>
      </c>
      <c r="BU25" s="64">
        <f t="shared" si="21"/>
        <v>0</v>
      </c>
      <c r="BW25" s="400"/>
      <c r="BX25" s="400"/>
      <c r="BY25" s="5" t="s">
        <v>71</v>
      </c>
      <c r="BZ25" s="43">
        <v>0</v>
      </c>
      <c r="CA25" s="370">
        <v>0</v>
      </c>
      <c r="CB25" s="5" t="s">
        <v>72</v>
      </c>
      <c r="CC25" s="400"/>
      <c r="CD25" s="400"/>
      <c r="CE25" s="5" t="s">
        <v>71</v>
      </c>
      <c r="CF25" s="43">
        <v>0</v>
      </c>
      <c r="CG25" s="370">
        <v>0</v>
      </c>
      <c r="CH25" s="5" t="s">
        <v>72</v>
      </c>
      <c r="CJ25" s="358"/>
    </row>
    <row r="26" spans="1:88" ht="20" customHeight="1">
      <c r="A26" s="236">
        <f>O7</f>
        <v>0</v>
      </c>
      <c r="B26" s="356">
        <f>ABS($M$7-A26)</f>
        <v>0</v>
      </c>
      <c r="C26" s="357"/>
      <c r="D26" s="96"/>
      <c r="E26" s="234"/>
      <c r="F26" s="402"/>
      <c r="G26" s="402"/>
      <c r="H26" s="84" t="s">
        <v>43</v>
      </c>
      <c r="I26" s="104">
        <f>O7</f>
        <v>0</v>
      </c>
      <c r="J26" s="104">
        <f t="shared" si="28"/>
        <v>0</v>
      </c>
      <c r="K26" s="323"/>
      <c r="L26" s="233" t="s">
        <v>170</v>
      </c>
      <c r="M26" s="355"/>
      <c r="N26" s="240"/>
      <c r="O26" s="230"/>
      <c r="P26" s="230"/>
      <c r="Q26" s="230"/>
      <c r="R26" s="21" t="s">
        <v>113</v>
      </c>
      <c r="S26" s="21">
        <v>1</v>
      </c>
      <c r="U26" s="20">
        <v>5</v>
      </c>
      <c r="V26" s="20">
        <v>21</v>
      </c>
      <c r="W26" s="20">
        <v>1</v>
      </c>
      <c r="X26" s="20">
        <f>SMALL($J$42:$J$46,W26)</f>
        <v>0</v>
      </c>
      <c r="Y26" s="22">
        <f>VLOOKUP(X26,$J$42:$K$46,2,FALSE)</f>
        <v>0</v>
      </c>
      <c r="Z26" s="27">
        <f t="array" ref="Z26:AA26">LINEST(Y26:Y27,X26:X27^{1})</f>
        <v>0</v>
      </c>
      <c r="AA26" s="88">
        <v>0</v>
      </c>
      <c r="AB26" s="22">
        <f t="shared" si="14"/>
        <v>0</v>
      </c>
      <c r="AD26" s="28">
        <f t="shared" si="15"/>
        <v>0</v>
      </c>
      <c r="AE26" s="29">
        <f>VLOOKUP(AD26,$J$42:$L$46,3,FALSE)</f>
        <v>0</v>
      </c>
      <c r="AF26" s="31"/>
      <c r="AG26" s="5"/>
      <c r="AH26" s="5"/>
      <c r="AI26" s="5"/>
      <c r="AJ26" s="34"/>
      <c r="AK26" s="34"/>
      <c r="AL26" s="34"/>
      <c r="AM26" s="34"/>
      <c r="AQ26" s="28">
        <f t="shared" si="16"/>
        <v>0</v>
      </c>
      <c r="AR26" s="29">
        <f t="shared" si="17"/>
        <v>0</v>
      </c>
      <c r="AT26" s="398"/>
      <c r="AU26" s="398"/>
      <c r="AV26" s="35"/>
      <c r="AW26" s="38"/>
      <c r="AX26" s="35"/>
      <c r="AY26" s="35"/>
      <c r="AZ26" s="398">
        <v>5</v>
      </c>
      <c r="BA26" s="398" t="s">
        <v>33</v>
      </c>
      <c r="BB26" s="35" t="s">
        <v>57</v>
      </c>
      <c r="BC26" s="36">
        <f t="array" ref="BC26:BD30">LINEST(AR26:AR30,AQ26:AQ30^{1,2},TRUE,TRUE)</f>
        <v>0</v>
      </c>
      <c r="BD26" s="35">
        <v>0</v>
      </c>
      <c r="BE26" s="35" t="s">
        <v>65</v>
      </c>
      <c r="BG26" s="30">
        <f t="shared" si="18"/>
        <v>0</v>
      </c>
      <c r="BH26" s="62">
        <f t="shared" si="19"/>
        <v>0</v>
      </c>
      <c r="BI26" s="31"/>
      <c r="BJ26" s="5"/>
      <c r="BK26" s="5"/>
      <c r="BL26" s="5"/>
      <c r="BM26" s="34"/>
      <c r="BN26" s="34"/>
      <c r="BO26" s="34"/>
      <c r="BP26" s="34"/>
      <c r="BQ26" s="5"/>
      <c r="BR26" s="17"/>
      <c r="BS26" s="17"/>
      <c r="BT26" s="30">
        <f t="shared" si="20"/>
        <v>0</v>
      </c>
      <c r="BU26" s="63">
        <f t="shared" si="21"/>
        <v>0</v>
      </c>
      <c r="BW26" s="398">
        <v>2</v>
      </c>
      <c r="BX26" s="398" t="s">
        <v>33</v>
      </c>
      <c r="BY26" s="35" t="s">
        <v>57</v>
      </c>
      <c r="BZ26" s="38">
        <f t="array" ref="BZ26:CA30">LINEST(BU10:BU14,BT10:BT14^{1,2},TRUE,TRUE)</f>
        <v>0</v>
      </c>
      <c r="CA26" s="35">
        <v>0</v>
      </c>
      <c r="CB26" s="35" t="s">
        <v>65</v>
      </c>
      <c r="CC26" s="398">
        <v>5</v>
      </c>
      <c r="CD26" s="398" t="s">
        <v>33</v>
      </c>
      <c r="CE26" s="35" t="s">
        <v>57</v>
      </c>
      <c r="CF26" s="36">
        <f t="array" ref="CF26:CG30">LINEST(BU26:BU30,BT26:BT30^{1,2},TRUE,TRUE)</f>
        <v>0</v>
      </c>
      <c r="CG26" s="35">
        <v>0</v>
      </c>
      <c r="CH26" s="35" t="s">
        <v>65</v>
      </c>
      <c r="CJ26" s="358"/>
    </row>
    <row r="27" spans="1:88" ht="20" customHeight="1">
      <c r="A27" s="236">
        <f>N8</f>
        <v>0</v>
      </c>
      <c r="B27" s="356">
        <f>ABS($M$8-A27)</f>
        <v>0</v>
      </c>
      <c r="C27" s="279">
        <f>MIN(B27:B31)</f>
        <v>0</v>
      </c>
      <c r="D27" s="96"/>
      <c r="E27" s="234"/>
      <c r="F27" s="402">
        <v>2</v>
      </c>
      <c r="G27" s="402"/>
      <c r="H27" s="84" t="s">
        <v>42</v>
      </c>
      <c r="I27" s="104">
        <f>N8</f>
        <v>0</v>
      </c>
      <c r="J27" s="104">
        <f>ROUNDUP(I27,0)</f>
        <v>0</v>
      </c>
      <c r="K27" s="323"/>
      <c r="L27" s="233" t="s">
        <v>170</v>
      </c>
      <c r="M27" s="355"/>
      <c r="N27" s="240"/>
      <c r="O27" s="229"/>
      <c r="P27" s="229"/>
      <c r="Q27" s="229"/>
      <c r="R27" s="17"/>
      <c r="S27" s="17"/>
      <c r="U27" s="20">
        <v>5</v>
      </c>
      <c r="V27" s="20">
        <v>22</v>
      </c>
      <c r="W27" s="20">
        <v>2</v>
      </c>
      <c r="X27" s="20">
        <f t="shared" ref="X27:X30" si="29">SMALL($J$42:$J$46,W27)</f>
        <v>0</v>
      </c>
      <c r="Y27" s="22">
        <f t="shared" ref="Y27:Y30" si="30">VLOOKUP(X27,$J$42:$K$46,2,FALSE)</f>
        <v>0</v>
      </c>
      <c r="Z27" s="27">
        <f t="array" ref="Z27:AA27">LINEST(Y27:Y28,X27:X28^{1})</f>
        <v>0</v>
      </c>
      <c r="AA27" s="88">
        <v>0</v>
      </c>
      <c r="AB27" s="22">
        <f t="shared" si="14"/>
        <v>0</v>
      </c>
      <c r="AD27" s="30">
        <f t="shared" si="15"/>
        <v>0</v>
      </c>
      <c r="AE27" s="31">
        <f t="shared" ref="AE27:AE30" si="31">VLOOKUP(AD27,$J$42:$L$46,3,FALSE)</f>
        <v>0</v>
      </c>
      <c r="AF27" s="31"/>
      <c r="AG27" s="5"/>
      <c r="AH27" s="5"/>
      <c r="AI27" s="5"/>
      <c r="AJ27" s="34"/>
      <c r="AK27" s="34"/>
      <c r="AL27" s="34"/>
      <c r="AM27" s="34"/>
      <c r="AQ27" s="30">
        <f t="shared" si="16"/>
        <v>0</v>
      </c>
      <c r="AR27" s="31">
        <f t="shared" si="17"/>
        <v>0</v>
      </c>
      <c r="AT27" s="401"/>
      <c r="AU27" s="401"/>
      <c r="AV27" s="370"/>
      <c r="AW27" s="42"/>
      <c r="AX27" s="370"/>
      <c r="AY27" s="370"/>
      <c r="AZ27" s="401"/>
      <c r="BA27" s="401"/>
      <c r="BB27" s="370" t="s">
        <v>66</v>
      </c>
      <c r="BC27" s="42">
        <v>0</v>
      </c>
      <c r="BD27" s="370">
        <v>0</v>
      </c>
      <c r="BE27" s="370" t="s">
        <v>67</v>
      </c>
      <c r="BG27" s="30">
        <f t="shared" si="18"/>
        <v>0</v>
      </c>
      <c r="BH27" s="63">
        <f t="shared" si="19"/>
        <v>0</v>
      </c>
      <c r="BI27" s="31"/>
      <c r="BJ27" s="5"/>
      <c r="BK27" s="5"/>
      <c r="BL27" s="5"/>
      <c r="BM27" s="34"/>
      <c r="BN27" s="34"/>
      <c r="BO27" s="34"/>
      <c r="BP27" s="34"/>
      <c r="BQ27" s="5"/>
      <c r="BR27" s="17"/>
      <c r="BS27" s="17"/>
      <c r="BT27" s="30">
        <f t="shared" si="20"/>
        <v>0</v>
      </c>
      <c r="BU27" s="63">
        <f t="shared" si="21"/>
        <v>0</v>
      </c>
      <c r="BW27" s="401"/>
      <c r="BX27" s="401"/>
      <c r="BY27" s="370" t="s">
        <v>66</v>
      </c>
      <c r="BZ27" s="42">
        <v>0</v>
      </c>
      <c r="CA27" s="370">
        <v>0</v>
      </c>
      <c r="CB27" s="370" t="s">
        <v>67</v>
      </c>
      <c r="CC27" s="401"/>
      <c r="CD27" s="401"/>
      <c r="CE27" s="370" t="s">
        <v>66</v>
      </c>
      <c r="CF27" s="42">
        <v>0</v>
      </c>
      <c r="CG27" s="370">
        <v>0</v>
      </c>
      <c r="CH27" s="370" t="s">
        <v>67</v>
      </c>
      <c r="CJ27" s="358"/>
    </row>
    <row r="28" spans="1:88" ht="20" customHeight="1">
      <c r="A28" s="236">
        <f>A27*0.76+A31*0.24</f>
        <v>0</v>
      </c>
      <c r="B28" s="356">
        <f>ABS($M$8-A28)</f>
        <v>0</v>
      </c>
      <c r="C28" s="357"/>
      <c r="D28" s="96"/>
      <c r="E28" s="234"/>
      <c r="F28" s="402"/>
      <c r="G28" s="402"/>
      <c r="H28" s="83" t="s">
        <v>98</v>
      </c>
      <c r="I28" s="227">
        <f>IF(M8=N8,A28,N28)</f>
        <v>0</v>
      </c>
      <c r="J28" s="104">
        <f t="shared" ref="J28:J51" si="32">ROUNDUP(I28,0)</f>
        <v>0</v>
      </c>
      <c r="K28" s="323"/>
      <c r="L28" s="233" t="s">
        <v>170</v>
      </c>
      <c r="M28" s="355"/>
      <c r="N28" s="239">
        <f>IF(B27=B28,$M$8,IF(B27=$C$27,$M$8, IF(B28&lt;=$C$27,$M$8,A28)))</f>
        <v>0</v>
      </c>
      <c r="O28" s="229"/>
      <c r="P28" s="229"/>
      <c r="Q28" s="229"/>
      <c r="R28" s="405" t="s">
        <v>169</v>
      </c>
      <c r="S28" s="405"/>
      <c r="U28" s="20">
        <v>5</v>
      </c>
      <c r="V28" s="20">
        <v>23</v>
      </c>
      <c r="W28" s="20">
        <v>3</v>
      </c>
      <c r="X28" s="20">
        <f t="shared" si="29"/>
        <v>0</v>
      </c>
      <c r="Y28" s="22">
        <f t="shared" si="30"/>
        <v>0</v>
      </c>
      <c r="Z28" s="27">
        <f t="array" ref="Z28:AA28">LINEST(Y28:Y29,X28:X29^{1})</f>
        <v>0</v>
      </c>
      <c r="AA28" s="88">
        <v>0</v>
      </c>
      <c r="AB28" s="22">
        <f t="shared" si="14"/>
        <v>0</v>
      </c>
      <c r="AD28" s="30">
        <f t="shared" si="15"/>
        <v>0</v>
      </c>
      <c r="AE28" s="31">
        <f t="shared" si="31"/>
        <v>0</v>
      </c>
      <c r="AF28" s="31"/>
      <c r="AG28" s="5"/>
      <c r="AH28" s="5"/>
      <c r="AI28" s="5"/>
      <c r="AJ28" s="34"/>
      <c r="AK28" s="34"/>
      <c r="AL28" s="34"/>
      <c r="AM28" s="34"/>
      <c r="AQ28" s="30">
        <f t="shared" si="16"/>
        <v>0</v>
      </c>
      <c r="AR28" s="31">
        <f t="shared" si="17"/>
        <v>0</v>
      </c>
      <c r="AT28" s="401"/>
      <c r="AU28" s="401"/>
      <c r="AV28" s="370"/>
      <c r="AW28" s="42"/>
      <c r="AX28" s="370"/>
      <c r="AY28" s="370"/>
      <c r="AZ28" s="401"/>
      <c r="BA28" s="401"/>
      <c r="BB28" s="370" t="s">
        <v>31</v>
      </c>
      <c r="BC28" s="42">
        <v>1</v>
      </c>
      <c r="BD28" s="370">
        <v>0</v>
      </c>
      <c r="BE28" s="370" t="s">
        <v>68</v>
      </c>
      <c r="BG28" s="30">
        <f t="shared" si="18"/>
        <v>0</v>
      </c>
      <c r="BH28" s="63">
        <f t="shared" si="19"/>
        <v>0</v>
      </c>
      <c r="BI28" s="31"/>
      <c r="BJ28" s="5"/>
      <c r="BK28" s="5"/>
      <c r="BL28" s="5"/>
      <c r="BM28" s="34"/>
      <c r="BN28" s="34"/>
      <c r="BO28" s="34"/>
      <c r="BP28" s="34"/>
      <c r="BQ28" s="5"/>
      <c r="BR28" s="17"/>
      <c r="BS28" s="17"/>
      <c r="BT28" s="30">
        <f t="shared" si="20"/>
        <v>0</v>
      </c>
      <c r="BU28" s="63">
        <f t="shared" si="21"/>
        <v>0</v>
      </c>
      <c r="BW28" s="401"/>
      <c r="BX28" s="401"/>
      <c r="BY28" s="370" t="s">
        <v>31</v>
      </c>
      <c r="BZ28" s="42">
        <v>1</v>
      </c>
      <c r="CA28" s="370">
        <v>0</v>
      </c>
      <c r="CB28" s="370" t="s">
        <v>68</v>
      </c>
      <c r="CC28" s="401"/>
      <c r="CD28" s="401"/>
      <c r="CE28" s="370" t="s">
        <v>31</v>
      </c>
      <c r="CF28" s="42">
        <v>1</v>
      </c>
      <c r="CG28" s="370">
        <v>0</v>
      </c>
      <c r="CH28" s="370" t="s">
        <v>68</v>
      </c>
      <c r="CJ28" s="358"/>
    </row>
    <row r="29" spans="1:88" ht="20" customHeight="1">
      <c r="A29" s="236">
        <f>A27*0.5+A31*0.5</f>
        <v>0</v>
      </c>
      <c r="B29" s="356">
        <f>ABS($M$8-A29)</f>
        <v>0</v>
      </c>
      <c r="C29" s="357"/>
      <c r="D29" s="96"/>
      <c r="E29" s="234"/>
      <c r="F29" s="402"/>
      <c r="G29" s="402"/>
      <c r="H29" s="83" t="s">
        <v>98</v>
      </c>
      <c r="I29" s="227">
        <f>IF(B29&lt;=$C$27,$M$8,A29)</f>
        <v>0</v>
      </c>
      <c r="J29" s="104">
        <f t="shared" si="32"/>
        <v>0</v>
      </c>
      <c r="K29" s="323"/>
      <c r="L29" s="233" t="s">
        <v>170</v>
      </c>
      <c r="M29" s="355"/>
      <c r="N29" s="239"/>
      <c r="O29" s="229"/>
      <c r="P29" s="229"/>
      <c r="Q29" s="229"/>
      <c r="R29" s="5" t="s">
        <v>42</v>
      </c>
      <c r="S29" s="20">
        <v>900</v>
      </c>
      <c r="U29" s="20">
        <v>5</v>
      </c>
      <c r="V29" s="20">
        <v>24</v>
      </c>
      <c r="W29" s="20">
        <v>4</v>
      </c>
      <c r="X29" s="20">
        <f t="shared" si="29"/>
        <v>0</v>
      </c>
      <c r="Y29" s="22">
        <f t="shared" si="30"/>
        <v>0</v>
      </c>
      <c r="Z29" s="27">
        <f t="array" ref="Z29:AA29">LINEST(Y29:Y30,X29:X30^{1})</f>
        <v>0</v>
      </c>
      <c r="AA29" s="88">
        <v>0</v>
      </c>
      <c r="AB29" s="22">
        <f t="shared" si="14"/>
        <v>0</v>
      </c>
      <c r="AD29" s="30">
        <f t="shared" si="15"/>
        <v>0</v>
      </c>
      <c r="AE29" s="31">
        <f t="shared" si="31"/>
        <v>0</v>
      </c>
      <c r="AF29" s="31"/>
      <c r="AG29" s="5"/>
      <c r="AH29" s="5"/>
      <c r="AI29" s="5"/>
      <c r="AJ29" s="34"/>
      <c r="AK29" s="34"/>
      <c r="AL29" s="34"/>
      <c r="AM29" s="34"/>
      <c r="AQ29" s="30">
        <f t="shared" si="16"/>
        <v>0</v>
      </c>
      <c r="AR29" s="31">
        <f t="shared" si="17"/>
        <v>0</v>
      </c>
      <c r="AT29" s="401"/>
      <c r="AU29" s="401"/>
      <c r="AV29" s="370"/>
      <c r="AW29" s="42"/>
      <c r="AX29" s="370"/>
      <c r="AY29" s="370"/>
      <c r="AZ29" s="401"/>
      <c r="BA29" s="401"/>
      <c r="BB29" s="370" t="s">
        <v>69</v>
      </c>
      <c r="BC29" s="42" t="e">
        <v>#NUM!</v>
      </c>
      <c r="BD29" s="370">
        <v>2</v>
      </c>
      <c r="BE29" s="370" t="s">
        <v>70</v>
      </c>
      <c r="BG29" s="30">
        <f t="shared" si="18"/>
        <v>0</v>
      </c>
      <c r="BH29" s="63">
        <f t="shared" si="19"/>
        <v>0</v>
      </c>
      <c r="BI29" s="31"/>
      <c r="BJ29" s="5"/>
      <c r="BK29" s="5"/>
      <c r="BL29" s="5"/>
      <c r="BM29" s="34"/>
      <c r="BN29" s="34"/>
      <c r="BO29" s="34"/>
      <c r="BP29" s="34"/>
      <c r="BQ29" s="5"/>
      <c r="BR29" s="17"/>
      <c r="BS29" s="17"/>
      <c r="BT29" s="30">
        <f t="shared" si="20"/>
        <v>0</v>
      </c>
      <c r="BU29" s="63">
        <f t="shared" si="21"/>
        <v>0</v>
      </c>
      <c r="BW29" s="401"/>
      <c r="BX29" s="401"/>
      <c r="BY29" s="370" t="s">
        <v>69</v>
      </c>
      <c r="BZ29" s="42" t="e">
        <v>#NUM!</v>
      </c>
      <c r="CA29" s="370">
        <v>2</v>
      </c>
      <c r="CB29" s="370" t="s">
        <v>70</v>
      </c>
      <c r="CC29" s="401"/>
      <c r="CD29" s="401"/>
      <c r="CE29" s="370" t="s">
        <v>69</v>
      </c>
      <c r="CF29" s="42" t="e">
        <v>#NUM!</v>
      </c>
      <c r="CG29" s="370">
        <v>2</v>
      </c>
      <c r="CH29" s="370" t="s">
        <v>70</v>
      </c>
      <c r="CJ29" s="358"/>
    </row>
    <row r="30" spans="1:88" ht="20" customHeight="1">
      <c r="A30" s="236">
        <f>A27*0.26+A31*0.74</f>
        <v>0</v>
      </c>
      <c r="B30" s="356">
        <f>ABS($M$8-A30)</f>
        <v>0</v>
      </c>
      <c r="C30" s="357"/>
      <c r="D30" s="96"/>
      <c r="E30" s="234"/>
      <c r="F30" s="402"/>
      <c r="G30" s="402"/>
      <c r="H30" s="83" t="s">
        <v>98</v>
      </c>
      <c r="I30" s="227">
        <f>IF(M8=O8,A30,N30)</f>
        <v>0</v>
      </c>
      <c r="J30" s="104">
        <f t="shared" si="32"/>
        <v>0</v>
      </c>
      <c r="K30" s="323"/>
      <c r="L30" s="233" t="s">
        <v>170</v>
      </c>
      <c r="M30" s="355"/>
      <c r="N30" s="239">
        <f>IF(B30=B31,$M$8, IF(B31=$C$27,$M$8, IF(B30&lt;=$C$27,$M$8,A30)))</f>
        <v>0</v>
      </c>
      <c r="O30" s="229"/>
      <c r="P30" s="229"/>
      <c r="R30" s="5" t="s">
        <v>43</v>
      </c>
      <c r="S30" s="20">
        <v>1300</v>
      </c>
      <c r="U30" s="20">
        <v>5</v>
      </c>
      <c r="V30" s="20">
        <v>25</v>
      </c>
      <c r="W30" s="20">
        <v>5</v>
      </c>
      <c r="X30" s="20">
        <f t="shared" si="29"/>
        <v>0</v>
      </c>
      <c r="Y30" s="22">
        <f t="shared" si="30"/>
        <v>0</v>
      </c>
      <c r="Z30" s="27">
        <f t="array" ref="Z30:AA30">LINEST(Y29:Y30,X29:X30^{1})</f>
        <v>0</v>
      </c>
      <c r="AA30" s="88">
        <v>0</v>
      </c>
      <c r="AB30" s="22">
        <f t="shared" si="14"/>
        <v>0</v>
      </c>
      <c r="AD30" s="32">
        <f t="shared" si="15"/>
        <v>0</v>
      </c>
      <c r="AE30" s="31">
        <f t="shared" si="31"/>
        <v>0</v>
      </c>
      <c r="AF30" s="31"/>
      <c r="AG30" s="5"/>
      <c r="AH30" s="5"/>
      <c r="AI30" s="5"/>
      <c r="AJ30" s="34"/>
      <c r="AK30" s="34"/>
      <c r="AL30" s="34"/>
      <c r="AM30" s="34"/>
      <c r="AQ30" s="32">
        <f t="shared" si="16"/>
        <v>0</v>
      </c>
      <c r="AR30" s="33">
        <f t="shared" si="17"/>
        <v>0</v>
      </c>
      <c r="AT30" s="400"/>
      <c r="AU30" s="400"/>
      <c r="AV30" s="39"/>
      <c r="AW30" s="42"/>
      <c r="AX30" s="39"/>
      <c r="AY30" s="39"/>
      <c r="AZ30" s="400"/>
      <c r="BA30" s="400"/>
      <c r="BB30" s="39" t="s">
        <v>71</v>
      </c>
      <c r="BC30" s="42">
        <v>0</v>
      </c>
      <c r="BD30" s="39">
        <v>0</v>
      </c>
      <c r="BE30" s="39" t="s">
        <v>72</v>
      </c>
      <c r="BG30" s="30">
        <f t="shared" si="18"/>
        <v>0</v>
      </c>
      <c r="BH30" s="64">
        <f t="shared" si="19"/>
        <v>0</v>
      </c>
      <c r="BI30" s="31"/>
      <c r="BJ30" s="5"/>
      <c r="BK30" s="5"/>
      <c r="BL30" s="5"/>
      <c r="BM30" s="34"/>
      <c r="BN30" s="34"/>
      <c r="BO30" s="34"/>
      <c r="BP30" s="34"/>
      <c r="BQ30" s="5"/>
      <c r="BR30" s="17"/>
      <c r="BS30" s="17"/>
      <c r="BT30" s="30">
        <f t="shared" si="20"/>
        <v>0</v>
      </c>
      <c r="BU30" s="63">
        <f t="shared" si="21"/>
        <v>0</v>
      </c>
      <c r="BW30" s="400"/>
      <c r="BX30" s="400"/>
      <c r="BY30" s="39" t="s">
        <v>71</v>
      </c>
      <c r="BZ30" s="42">
        <v>0</v>
      </c>
      <c r="CA30" s="39">
        <v>0</v>
      </c>
      <c r="CB30" s="39" t="s">
        <v>72</v>
      </c>
      <c r="CC30" s="400"/>
      <c r="CD30" s="400"/>
      <c r="CE30" s="39" t="s">
        <v>71</v>
      </c>
      <c r="CF30" s="42">
        <v>0</v>
      </c>
      <c r="CG30" s="39">
        <v>0</v>
      </c>
      <c r="CH30" s="39" t="s">
        <v>72</v>
      </c>
      <c r="CJ30" s="358"/>
    </row>
    <row r="31" spans="1:88" ht="20" customHeight="1">
      <c r="A31" s="236">
        <f>O8</f>
        <v>0</v>
      </c>
      <c r="B31" s="356">
        <f>ABS($M$8-A31)</f>
        <v>0</v>
      </c>
      <c r="C31" s="357"/>
      <c r="D31" s="96"/>
      <c r="E31" s="234"/>
      <c r="F31" s="402"/>
      <c r="G31" s="402"/>
      <c r="H31" s="84" t="s">
        <v>43</v>
      </c>
      <c r="I31" s="104">
        <f>O8</f>
        <v>0</v>
      </c>
      <c r="J31" s="104">
        <f t="shared" si="32"/>
        <v>0</v>
      </c>
      <c r="K31" s="323"/>
      <c r="L31" s="233" t="s">
        <v>170</v>
      </c>
      <c r="M31" s="355"/>
      <c r="N31" s="240"/>
      <c r="O31" s="229"/>
      <c r="P31" s="229"/>
      <c r="R31" s="17"/>
      <c r="S31" s="17"/>
      <c r="U31" s="20">
        <v>6</v>
      </c>
      <c r="V31" s="20">
        <v>26</v>
      </c>
      <c r="W31" s="20">
        <v>1</v>
      </c>
      <c r="X31" s="20">
        <f>SMALL($J$47:$J$51,W31)</f>
        <v>0</v>
      </c>
      <c r="Y31" s="22">
        <f>VLOOKUP(X31,$J$47:$K$51,2,FALSE)</f>
        <v>0</v>
      </c>
      <c r="Z31" s="27">
        <f t="array" ref="Z31:AA31">LINEST(Y31:Y32,X31:X32^{1})</f>
        <v>0</v>
      </c>
      <c r="AA31" s="88">
        <v>0</v>
      </c>
      <c r="AB31" s="22">
        <f t="shared" si="14"/>
        <v>0</v>
      </c>
      <c r="AD31" s="28">
        <f t="shared" si="15"/>
        <v>0</v>
      </c>
      <c r="AE31" s="29">
        <f>VLOOKUP(AD31,$J$47:$L$51,3,FALSE)</f>
        <v>0</v>
      </c>
      <c r="AF31" s="31"/>
      <c r="AG31" s="5"/>
      <c r="AH31" s="5"/>
      <c r="AI31" s="5"/>
      <c r="AJ31" s="34"/>
      <c r="AK31" s="34"/>
      <c r="AL31" s="34"/>
      <c r="AM31" s="34"/>
      <c r="AQ31" s="28">
        <f t="shared" si="16"/>
        <v>0</v>
      </c>
      <c r="AR31" s="29">
        <f t="shared" si="17"/>
        <v>0</v>
      </c>
      <c r="AT31" s="398"/>
      <c r="AU31" s="398"/>
      <c r="AV31" s="5"/>
      <c r="AW31" s="36"/>
      <c r="AX31" s="370"/>
      <c r="AY31" s="5"/>
      <c r="AZ31" s="398">
        <v>5</v>
      </c>
      <c r="BA31" s="398" t="s">
        <v>30</v>
      </c>
      <c r="BB31" s="5" t="s">
        <v>57</v>
      </c>
      <c r="BC31" s="36">
        <f t="array" ref="BC31:BD35">LINEST(AR26:AR30,AQ26:AQ30^{1,2,3},TRUE,TRUE)</f>
        <v>0</v>
      </c>
      <c r="BD31" s="370">
        <v>0</v>
      </c>
      <c r="BE31" s="5" t="s">
        <v>65</v>
      </c>
      <c r="BG31" s="30">
        <f t="shared" si="18"/>
        <v>0</v>
      </c>
      <c r="BH31" s="62">
        <f t="shared" si="19"/>
        <v>0</v>
      </c>
      <c r="BI31" s="31"/>
      <c r="BJ31" s="5"/>
      <c r="BK31" s="5"/>
      <c r="BL31" s="5"/>
      <c r="BM31" s="34"/>
      <c r="BN31" s="34"/>
      <c r="BO31" s="34"/>
      <c r="BP31" s="34"/>
      <c r="BQ31" s="5"/>
      <c r="BR31" s="17"/>
      <c r="BS31" s="17"/>
      <c r="BT31" s="28">
        <f t="shared" si="20"/>
        <v>0</v>
      </c>
      <c r="BU31" s="62">
        <f t="shared" si="21"/>
        <v>0</v>
      </c>
      <c r="BW31" s="398">
        <v>3</v>
      </c>
      <c r="BX31" s="398" t="s">
        <v>30</v>
      </c>
      <c r="BY31" s="5" t="s">
        <v>57</v>
      </c>
      <c r="BZ31" s="36">
        <f t="array" ref="BZ31:CA35">LINEST(BU10:BU14,BT10:BT14^{1,2,3},TRUE,TRUE)</f>
        <v>0</v>
      </c>
      <c r="CA31" s="370">
        <v>0</v>
      </c>
      <c r="CB31" s="5" t="s">
        <v>65</v>
      </c>
      <c r="CC31" s="398">
        <v>5</v>
      </c>
      <c r="CD31" s="398" t="s">
        <v>30</v>
      </c>
      <c r="CE31" s="5" t="s">
        <v>57</v>
      </c>
      <c r="CF31" s="36">
        <f t="array" ref="CF31:CG35">LINEST(BU26:BU30,BT26:BT30^{1,2,3},TRUE,TRUE)</f>
        <v>0</v>
      </c>
      <c r="CG31" s="370">
        <v>0</v>
      </c>
      <c r="CH31" s="5" t="s">
        <v>65</v>
      </c>
      <c r="CJ31" s="358"/>
    </row>
    <row r="32" spans="1:88" ht="20" customHeight="1">
      <c r="A32" s="236">
        <f>N9</f>
        <v>0</v>
      </c>
      <c r="B32" s="356">
        <f>ABS($M$9-A32)</f>
        <v>0</v>
      </c>
      <c r="C32" s="279">
        <f>MIN(B32:B36)</f>
        <v>0</v>
      </c>
      <c r="D32" s="96"/>
      <c r="E32" s="234"/>
      <c r="F32" s="402">
        <v>3</v>
      </c>
      <c r="G32" s="402"/>
      <c r="H32" s="84" t="s">
        <v>42</v>
      </c>
      <c r="I32" s="104">
        <f>N9</f>
        <v>0</v>
      </c>
      <c r="J32" s="104">
        <f t="shared" si="32"/>
        <v>0</v>
      </c>
      <c r="K32" s="323"/>
      <c r="L32" s="324"/>
      <c r="M32" s="355"/>
      <c r="N32" s="240"/>
      <c r="O32" s="229"/>
      <c r="P32" s="229"/>
      <c r="R32" s="17"/>
      <c r="S32" s="17"/>
      <c r="U32" s="20">
        <v>6</v>
      </c>
      <c r="V32" s="20">
        <v>27</v>
      </c>
      <c r="W32" s="20">
        <v>2</v>
      </c>
      <c r="X32" s="20">
        <f t="shared" ref="X32:X35" si="33">SMALL($J$47:$J$51,W32)</f>
        <v>0</v>
      </c>
      <c r="Y32" s="22">
        <f t="shared" ref="Y32:Y35" si="34">VLOOKUP(X32,$J$47:$K$51,2,FALSE)</f>
        <v>0</v>
      </c>
      <c r="Z32" s="27">
        <f t="array" ref="Z32:AA32">LINEST(Y32:Y33,X32:X33^{1})</f>
        <v>0</v>
      </c>
      <c r="AA32" s="88">
        <v>0</v>
      </c>
      <c r="AB32" s="22">
        <f t="shared" si="14"/>
        <v>0</v>
      </c>
      <c r="AD32" s="30">
        <f t="shared" si="15"/>
        <v>0</v>
      </c>
      <c r="AE32" s="31">
        <f t="shared" ref="AE32:AE35" si="35">VLOOKUP(AD32,$J$47:$L$51,3,FALSE)</f>
        <v>0</v>
      </c>
      <c r="AF32" s="31"/>
      <c r="AG32" s="5"/>
      <c r="AH32" s="5"/>
      <c r="AI32" s="5"/>
      <c r="AJ32" s="34"/>
      <c r="AK32" s="34"/>
      <c r="AL32" s="34"/>
      <c r="AM32" s="34"/>
      <c r="AQ32" s="30">
        <f t="shared" si="16"/>
        <v>0</v>
      </c>
      <c r="AR32" s="31">
        <f t="shared" si="17"/>
        <v>0</v>
      </c>
      <c r="AT32" s="399"/>
      <c r="AU32" s="399"/>
      <c r="AV32" s="5"/>
      <c r="AW32" s="42"/>
      <c r="AX32" s="370"/>
      <c r="AY32" s="5"/>
      <c r="AZ32" s="399"/>
      <c r="BA32" s="399"/>
      <c r="BB32" s="5" t="s">
        <v>66</v>
      </c>
      <c r="BC32" s="42">
        <v>0</v>
      </c>
      <c r="BD32" s="370">
        <v>0</v>
      </c>
      <c r="BE32" s="5" t="s">
        <v>67</v>
      </c>
      <c r="BG32" s="30">
        <f t="shared" si="18"/>
        <v>0</v>
      </c>
      <c r="BH32" s="63">
        <f t="shared" si="19"/>
        <v>0</v>
      </c>
      <c r="BI32" s="31"/>
      <c r="BJ32" s="5"/>
      <c r="BK32" s="5"/>
      <c r="BL32" s="5"/>
      <c r="BM32" s="34"/>
      <c r="BN32" s="34"/>
      <c r="BO32" s="34"/>
      <c r="BP32" s="34"/>
      <c r="BQ32" s="5"/>
      <c r="BR32" s="17"/>
      <c r="BS32" s="17"/>
      <c r="BT32" s="30">
        <f t="shared" si="20"/>
        <v>0</v>
      </c>
      <c r="BU32" s="63">
        <f t="shared" si="21"/>
        <v>0</v>
      </c>
      <c r="BW32" s="399"/>
      <c r="BX32" s="399"/>
      <c r="BY32" s="5" t="s">
        <v>66</v>
      </c>
      <c r="BZ32" s="42">
        <v>0</v>
      </c>
      <c r="CA32" s="370">
        <v>0</v>
      </c>
      <c r="CB32" s="5" t="s">
        <v>67</v>
      </c>
      <c r="CC32" s="399"/>
      <c r="CD32" s="399"/>
      <c r="CE32" s="5" t="s">
        <v>66</v>
      </c>
      <c r="CF32" s="42">
        <v>0</v>
      </c>
      <c r="CG32" s="370">
        <v>0</v>
      </c>
      <c r="CH32" s="5" t="s">
        <v>67</v>
      </c>
      <c r="CJ32" s="358"/>
    </row>
    <row r="33" spans="1:88" ht="20" customHeight="1">
      <c r="A33" s="236">
        <f>A32*0.76+A36*0.24</f>
        <v>0</v>
      </c>
      <c r="B33" s="356">
        <f>ABS($M$9-A33)</f>
        <v>0</v>
      </c>
      <c r="C33" s="357"/>
      <c r="D33" s="96"/>
      <c r="E33" s="234"/>
      <c r="F33" s="402"/>
      <c r="G33" s="402"/>
      <c r="H33" s="83" t="s">
        <v>98</v>
      </c>
      <c r="I33" s="227">
        <f>IF(M9=N9,A33,N33)</f>
        <v>0</v>
      </c>
      <c r="J33" s="104">
        <f t="shared" si="32"/>
        <v>0</v>
      </c>
      <c r="K33" s="323"/>
      <c r="L33" s="324"/>
      <c r="M33" s="355"/>
      <c r="N33" s="239">
        <f>IF(B32=B33,$M$9,IF(B32=$C$32,$M$9, IF(B33&lt;=$C$32,$M$9,A33)))</f>
        <v>0</v>
      </c>
      <c r="O33" s="229"/>
      <c r="P33" s="229"/>
      <c r="R33" s="17"/>
      <c r="S33" s="17"/>
      <c r="U33" s="20">
        <v>6</v>
      </c>
      <c r="V33" s="20">
        <v>28</v>
      </c>
      <c r="W33" s="20">
        <v>3</v>
      </c>
      <c r="X33" s="20">
        <f t="shared" si="33"/>
        <v>0</v>
      </c>
      <c r="Y33" s="22">
        <f t="shared" si="34"/>
        <v>0</v>
      </c>
      <c r="Z33" s="27">
        <f t="array" ref="Z33:AA33">LINEST(Y33:Y34,X33:X34^{1})</f>
        <v>0</v>
      </c>
      <c r="AA33" s="88">
        <v>0</v>
      </c>
      <c r="AB33" s="22">
        <f t="shared" si="14"/>
        <v>0</v>
      </c>
      <c r="AD33" s="30">
        <f t="shared" si="15"/>
        <v>0</v>
      </c>
      <c r="AE33" s="31">
        <f t="shared" si="35"/>
        <v>0</v>
      </c>
      <c r="AF33" s="31"/>
      <c r="AG33" s="5"/>
      <c r="AH33" s="5"/>
      <c r="AI33" s="5"/>
      <c r="AJ33" s="34"/>
      <c r="AK33" s="34"/>
      <c r="AL33" s="34"/>
      <c r="AM33" s="34"/>
      <c r="AQ33" s="30">
        <f t="shared" si="16"/>
        <v>0</v>
      </c>
      <c r="AR33" s="31">
        <f t="shared" si="17"/>
        <v>0</v>
      </c>
      <c r="AT33" s="399"/>
      <c r="AU33" s="399"/>
      <c r="AV33" s="5"/>
      <c r="AW33" s="42"/>
      <c r="AX33" s="370"/>
      <c r="AY33" s="5"/>
      <c r="AZ33" s="399"/>
      <c r="BA33" s="399"/>
      <c r="BB33" s="5" t="s">
        <v>31</v>
      </c>
      <c r="BC33" s="42">
        <v>1</v>
      </c>
      <c r="BD33" s="370">
        <v>0</v>
      </c>
      <c r="BE33" s="5" t="s">
        <v>68</v>
      </c>
      <c r="BG33" s="30">
        <f t="shared" si="18"/>
        <v>0</v>
      </c>
      <c r="BH33" s="63">
        <f t="shared" si="19"/>
        <v>0</v>
      </c>
      <c r="BI33" s="31"/>
      <c r="BJ33" s="5"/>
      <c r="BK33" s="5"/>
      <c r="BL33" s="5"/>
      <c r="BM33" s="34"/>
      <c r="BN33" s="34"/>
      <c r="BO33" s="34"/>
      <c r="BP33" s="34"/>
      <c r="BQ33" s="5"/>
      <c r="BR33" s="17"/>
      <c r="BS33" s="17"/>
      <c r="BT33" s="30">
        <f t="shared" si="20"/>
        <v>0</v>
      </c>
      <c r="BU33" s="63">
        <f t="shared" si="21"/>
        <v>0</v>
      </c>
      <c r="BW33" s="399"/>
      <c r="BX33" s="399"/>
      <c r="BY33" s="5" t="s">
        <v>31</v>
      </c>
      <c r="BZ33" s="42">
        <v>1</v>
      </c>
      <c r="CA33" s="370">
        <v>0</v>
      </c>
      <c r="CB33" s="5" t="s">
        <v>68</v>
      </c>
      <c r="CC33" s="399"/>
      <c r="CD33" s="399"/>
      <c r="CE33" s="5" t="s">
        <v>31</v>
      </c>
      <c r="CF33" s="42">
        <v>1</v>
      </c>
      <c r="CG33" s="370">
        <v>0</v>
      </c>
      <c r="CH33" s="5" t="s">
        <v>68</v>
      </c>
      <c r="CJ33" s="358"/>
    </row>
    <row r="34" spans="1:88" ht="20" customHeight="1">
      <c r="A34" s="236">
        <f>A32*0.5+A36*0.5</f>
        <v>0</v>
      </c>
      <c r="B34" s="356">
        <f>ABS($M$9-A34)</f>
        <v>0</v>
      </c>
      <c r="C34" s="357"/>
      <c r="D34" s="96"/>
      <c r="E34" s="234"/>
      <c r="F34" s="402"/>
      <c r="G34" s="402"/>
      <c r="H34" s="83" t="s">
        <v>98</v>
      </c>
      <c r="I34" s="227">
        <f>IF(B34&lt;=$C$32,$M$9,A34)</f>
        <v>0</v>
      </c>
      <c r="J34" s="104">
        <f t="shared" si="32"/>
        <v>0</v>
      </c>
      <c r="K34" s="323"/>
      <c r="L34" s="324"/>
      <c r="M34" s="355"/>
      <c r="N34" s="239"/>
      <c r="O34" s="229"/>
      <c r="P34" s="229"/>
      <c r="R34" s="17"/>
      <c r="S34" s="17"/>
      <c r="U34" s="20">
        <v>6</v>
      </c>
      <c r="V34" s="20">
        <v>29</v>
      </c>
      <c r="W34" s="20">
        <v>4</v>
      </c>
      <c r="X34" s="20">
        <f t="shared" si="33"/>
        <v>0</v>
      </c>
      <c r="Y34" s="22">
        <f t="shared" si="34"/>
        <v>0</v>
      </c>
      <c r="Z34" s="27">
        <f t="array" ref="Z34:AA34">LINEST(Y34:Y35,X34:X35^{1})</f>
        <v>0</v>
      </c>
      <c r="AA34" s="88">
        <v>0</v>
      </c>
      <c r="AB34" s="22">
        <f t="shared" si="14"/>
        <v>0</v>
      </c>
      <c r="AD34" s="30">
        <f t="shared" si="15"/>
        <v>0</v>
      </c>
      <c r="AE34" s="31">
        <f t="shared" si="35"/>
        <v>0</v>
      </c>
      <c r="AF34" s="31"/>
      <c r="AG34" s="5"/>
      <c r="AH34" s="5"/>
      <c r="AI34" s="5"/>
      <c r="AJ34" s="34"/>
      <c r="AK34" s="34"/>
      <c r="AL34" s="34"/>
      <c r="AM34" s="34"/>
      <c r="AQ34" s="30">
        <f t="shared" si="16"/>
        <v>0</v>
      </c>
      <c r="AR34" s="31">
        <f t="shared" si="17"/>
        <v>0</v>
      </c>
      <c r="AT34" s="399"/>
      <c r="AU34" s="399"/>
      <c r="AV34" s="5"/>
      <c r="AW34" s="42"/>
      <c r="AX34" s="370"/>
      <c r="AY34" s="5"/>
      <c r="AZ34" s="399"/>
      <c r="BA34" s="399"/>
      <c r="BB34" s="5" t="s">
        <v>69</v>
      </c>
      <c r="BC34" s="42" t="e">
        <v>#NUM!</v>
      </c>
      <c r="BD34" s="370">
        <v>1</v>
      </c>
      <c r="BE34" s="5" t="s">
        <v>70</v>
      </c>
      <c r="BG34" s="30">
        <f t="shared" si="18"/>
        <v>0</v>
      </c>
      <c r="BH34" s="63">
        <f t="shared" si="19"/>
        <v>0</v>
      </c>
      <c r="BI34" s="31"/>
      <c r="BJ34" s="5"/>
      <c r="BK34" s="5"/>
      <c r="BL34" s="5"/>
      <c r="BM34" s="34"/>
      <c r="BN34" s="34"/>
      <c r="BO34" s="34"/>
      <c r="BP34" s="34"/>
      <c r="BQ34" s="5"/>
      <c r="BR34" s="17"/>
      <c r="BS34" s="17"/>
      <c r="BT34" s="30">
        <f t="shared" si="20"/>
        <v>0</v>
      </c>
      <c r="BU34" s="63">
        <f t="shared" si="21"/>
        <v>0</v>
      </c>
      <c r="BW34" s="399"/>
      <c r="BX34" s="399"/>
      <c r="BY34" s="5" t="s">
        <v>69</v>
      </c>
      <c r="BZ34" s="42" t="e">
        <v>#NUM!</v>
      </c>
      <c r="CA34" s="370">
        <v>1</v>
      </c>
      <c r="CB34" s="5" t="s">
        <v>70</v>
      </c>
      <c r="CC34" s="399"/>
      <c r="CD34" s="399"/>
      <c r="CE34" s="5" t="s">
        <v>69</v>
      </c>
      <c r="CF34" s="42" t="e">
        <v>#NUM!</v>
      </c>
      <c r="CG34" s="370">
        <v>1</v>
      </c>
      <c r="CH34" s="5" t="s">
        <v>70</v>
      </c>
      <c r="CJ34" s="358"/>
    </row>
    <row r="35" spans="1:88" ht="20" customHeight="1">
      <c r="A35" s="236">
        <f>A32*0.26+A36*0.74</f>
        <v>0</v>
      </c>
      <c r="B35" s="356">
        <f>ABS($M$9-A35)</f>
        <v>0</v>
      </c>
      <c r="C35" s="357"/>
      <c r="D35" s="96"/>
      <c r="E35" s="234"/>
      <c r="F35" s="402"/>
      <c r="G35" s="402"/>
      <c r="H35" s="83" t="s">
        <v>98</v>
      </c>
      <c r="I35" s="227">
        <f>IF(M9=O9,A35,N35)</f>
        <v>0</v>
      </c>
      <c r="J35" s="104">
        <f t="shared" si="32"/>
        <v>0</v>
      </c>
      <c r="K35" s="323"/>
      <c r="L35" s="324"/>
      <c r="M35" s="355"/>
      <c r="N35" s="239">
        <f>IF(B35=B36,$M$9, IF(B36=$C$32,$M$9, IF(B35&lt;=$C$32,$M$9,A35)))</f>
        <v>0</v>
      </c>
      <c r="O35" s="229"/>
      <c r="P35" s="229"/>
      <c r="U35" s="20">
        <v>6</v>
      </c>
      <c r="V35" s="20">
        <v>30</v>
      </c>
      <c r="W35" s="20">
        <v>5</v>
      </c>
      <c r="X35" s="20">
        <f t="shared" si="33"/>
        <v>0</v>
      </c>
      <c r="Y35" s="22">
        <f t="shared" si="34"/>
        <v>0</v>
      </c>
      <c r="Z35" s="27">
        <f t="array" ref="Z35:AA35">LINEST(Y34:Y35,X34:X35^{1})</f>
        <v>0</v>
      </c>
      <c r="AA35" s="88">
        <v>0</v>
      </c>
      <c r="AB35" s="22">
        <f t="shared" si="14"/>
        <v>0</v>
      </c>
      <c r="AD35" s="32">
        <f t="shared" si="15"/>
        <v>0</v>
      </c>
      <c r="AE35" s="33">
        <f t="shared" si="35"/>
        <v>0</v>
      </c>
      <c r="AF35" s="31"/>
      <c r="AG35" s="5"/>
      <c r="AH35" s="5"/>
      <c r="AI35" s="5"/>
      <c r="AJ35" s="34"/>
      <c r="AK35" s="34"/>
      <c r="AL35" s="34"/>
      <c r="AM35" s="34"/>
      <c r="AQ35" s="32">
        <f t="shared" si="16"/>
        <v>0</v>
      </c>
      <c r="AR35" s="33">
        <f>AE35</f>
        <v>0</v>
      </c>
      <c r="AT35" s="401"/>
      <c r="AU35" s="401"/>
      <c r="AV35" s="5"/>
      <c r="AW35" s="42"/>
      <c r="AX35" s="370"/>
      <c r="AY35" s="5"/>
      <c r="AZ35" s="401"/>
      <c r="BA35" s="401"/>
      <c r="BB35" s="5" t="s">
        <v>71</v>
      </c>
      <c r="BC35" s="43">
        <v>0</v>
      </c>
      <c r="BD35" s="370">
        <v>0</v>
      </c>
      <c r="BE35" s="5" t="s">
        <v>72</v>
      </c>
      <c r="BG35" s="30">
        <f t="shared" si="18"/>
        <v>0</v>
      </c>
      <c r="BH35" s="64">
        <f t="shared" si="19"/>
        <v>0</v>
      </c>
      <c r="BI35" s="31"/>
      <c r="BJ35" s="5"/>
      <c r="BK35" s="5"/>
      <c r="BL35" s="5"/>
      <c r="BM35" s="34"/>
      <c r="BN35" s="34"/>
      <c r="BO35" s="34"/>
      <c r="BP35" s="34"/>
      <c r="BQ35" s="5"/>
      <c r="BR35" s="17"/>
      <c r="BS35" s="17"/>
      <c r="BT35" s="32">
        <f t="shared" si="20"/>
        <v>0</v>
      </c>
      <c r="BU35" s="64">
        <f t="shared" si="21"/>
        <v>0</v>
      </c>
      <c r="BW35" s="401"/>
      <c r="BX35" s="401"/>
      <c r="BY35" s="5" t="s">
        <v>71</v>
      </c>
      <c r="BZ35" s="42">
        <v>0</v>
      </c>
      <c r="CA35" s="370">
        <v>0</v>
      </c>
      <c r="CB35" s="5" t="s">
        <v>72</v>
      </c>
      <c r="CC35" s="401"/>
      <c r="CD35" s="401"/>
      <c r="CE35" s="5" t="s">
        <v>71</v>
      </c>
      <c r="CF35" s="43">
        <v>0</v>
      </c>
      <c r="CG35" s="370">
        <v>0</v>
      </c>
      <c r="CH35" s="5" t="s">
        <v>72</v>
      </c>
      <c r="CJ35" s="358"/>
    </row>
    <row r="36" spans="1:88" ht="20" customHeight="1">
      <c r="A36" s="236">
        <f>O9</f>
        <v>0</v>
      </c>
      <c r="B36" s="356">
        <f>ABS($M$9-A36)</f>
        <v>0</v>
      </c>
      <c r="C36" s="357"/>
      <c r="D36" s="96"/>
      <c r="E36" s="234"/>
      <c r="F36" s="402"/>
      <c r="G36" s="402"/>
      <c r="H36" s="84" t="s">
        <v>43</v>
      </c>
      <c r="I36" s="104">
        <f>O9</f>
        <v>0</v>
      </c>
      <c r="J36" s="104">
        <f t="shared" si="32"/>
        <v>0</v>
      </c>
      <c r="K36" s="323"/>
      <c r="L36" s="324"/>
      <c r="M36" s="355"/>
      <c r="N36" s="240"/>
      <c r="O36" s="229"/>
      <c r="P36" s="229"/>
      <c r="V36" s="20"/>
      <c r="W36" s="20"/>
      <c r="X36" s="20"/>
      <c r="AG36" s="5"/>
      <c r="AH36" s="5"/>
      <c r="AI36" s="5"/>
      <c r="AJ36" s="34"/>
      <c r="AK36" s="34"/>
      <c r="AL36" s="34"/>
      <c r="AM36" s="34"/>
      <c r="AT36" s="398">
        <v>3</v>
      </c>
      <c r="AU36" s="398" t="s">
        <v>29</v>
      </c>
      <c r="AV36" s="35" t="s">
        <v>57</v>
      </c>
      <c r="AW36" s="36">
        <f t="array" ref="AW36:AX40">LINEST(AR16:AR20,AQ16:AQ20^{1},TRUE,TRUE)</f>
        <v>0</v>
      </c>
      <c r="AX36" s="35">
        <v>0</v>
      </c>
      <c r="AY36" s="35" t="s">
        <v>65</v>
      </c>
      <c r="AZ36" s="398">
        <v>6</v>
      </c>
      <c r="BA36" s="398" t="s">
        <v>29</v>
      </c>
      <c r="BB36" s="35" t="s">
        <v>57</v>
      </c>
      <c r="BC36" s="36">
        <f t="array" ref="BC36:BD40">LINEST(AR25:AR31,AQ25:AQ31^{1},TRUE,TRUE)</f>
        <v>0</v>
      </c>
      <c r="BD36" s="35">
        <v>0</v>
      </c>
      <c r="BE36" s="35" t="s">
        <v>65</v>
      </c>
      <c r="BJ36" s="5"/>
      <c r="BK36" s="5"/>
      <c r="BL36" s="5"/>
      <c r="BM36" s="34"/>
      <c r="BN36" s="34"/>
      <c r="BO36" s="34"/>
      <c r="BP36" s="34"/>
      <c r="BQ36" s="5"/>
      <c r="BR36" s="17"/>
      <c r="BS36" s="17"/>
      <c r="BT36" s="17"/>
      <c r="BW36" s="398">
        <v>3</v>
      </c>
      <c r="BX36" s="398" t="s">
        <v>29</v>
      </c>
      <c r="BY36" s="35" t="s">
        <v>57</v>
      </c>
      <c r="BZ36" s="36">
        <f t="array" ref="BZ36:CA40">LINEST(BU16:BU20,BT16:BT20^{1},TRUE,TRUE)</f>
        <v>0</v>
      </c>
      <c r="CA36" s="35">
        <v>0</v>
      </c>
      <c r="CB36" s="35" t="s">
        <v>65</v>
      </c>
      <c r="CC36" s="398">
        <v>6</v>
      </c>
      <c r="CD36" s="398" t="s">
        <v>29</v>
      </c>
      <c r="CE36" s="35" t="s">
        <v>57</v>
      </c>
      <c r="CF36" s="36">
        <f t="array" ref="CF36:CG40">LINEST(BU25:BU31,BT25:BT31^{1},TRUE,TRUE)</f>
        <v>0</v>
      </c>
      <c r="CG36" s="35">
        <v>0</v>
      </c>
      <c r="CH36" s="35" t="s">
        <v>65</v>
      </c>
      <c r="CJ36" s="358"/>
    </row>
    <row r="37" spans="1:88" ht="20" customHeight="1">
      <c r="A37" s="236">
        <f>N10</f>
        <v>0</v>
      </c>
      <c r="B37" s="356">
        <f>ABS($M$10-A37)</f>
        <v>0</v>
      </c>
      <c r="C37" s="279">
        <f>MIN(B37:B41)</f>
        <v>0</v>
      </c>
      <c r="D37" s="96"/>
      <c r="E37" s="234"/>
      <c r="F37" s="402">
        <v>4</v>
      </c>
      <c r="G37" s="402"/>
      <c r="H37" s="84" t="s">
        <v>42</v>
      </c>
      <c r="I37" s="104">
        <f>N10</f>
        <v>0</v>
      </c>
      <c r="J37" s="104">
        <f t="shared" si="32"/>
        <v>0</v>
      </c>
      <c r="K37" s="323"/>
      <c r="L37" s="324"/>
      <c r="M37" s="355"/>
      <c r="N37" s="240"/>
      <c r="O37" s="229"/>
      <c r="P37" s="229"/>
      <c r="V37" s="20"/>
      <c r="W37" s="20"/>
      <c r="X37" s="20"/>
      <c r="AG37" s="5"/>
      <c r="AH37" s="5"/>
      <c r="AI37" s="5"/>
      <c r="AJ37" s="34"/>
      <c r="AK37" s="34"/>
      <c r="AL37" s="34"/>
      <c r="AM37" s="34"/>
      <c r="AT37" s="401"/>
      <c r="AU37" s="401"/>
      <c r="AV37" s="370" t="s">
        <v>66</v>
      </c>
      <c r="AW37" s="42">
        <v>0</v>
      </c>
      <c r="AX37" s="370">
        <v>0</v>
      </c>
      <c r="AY37" s="370" t="s">
        <v>67</v>
      </c>
      <c r="AZ37" s="401"/>
      <c r="BA37" s="401"/>
      <c r="BB37" s="370" t="s">
        <v>66</v>
      </c>
      <c r="BC37" s="42">
        <v>0</v>
      </c>
      <c r="BD37" s="370">
        <v>0</v>
      </c>
      <c r="BE37" s="370" t="s">
        <v>67</v>
      </c>
      <c r="BJ37" s="5"/>
      <c r="BK37" s="5"/>
      <c r="BL37" s="5"/>
      <c r="BM37" s="34"/>
      <c r="BN37" s="34"/>
      <c r="BO37" s="34"/>
      <c r="BP37" s="34"/>
      <c r="BQ37" s="5"/>
      <c r="BR37" s="17"/>
      <c r="BS37" s="17"/>
      <c r="BT37" s="17"/>
      <c r="BW37" s="401"/>
      <c r="BX37" s="401"/>
      <c r="BY37" s="370" t="s">
        <v>66</v>
      </c>
      <c r="BZ37" s="42">
        <v>0</v>
      </c>
      <c r="CA37" s="370">
        <v>0</v>
      </c>
      <c r="CB37" s="370" t="s">
        <v>67</v>
      </c>
      <c r="CC37" s="401"/>
      <c r="CD37" s="401"/>
      <c r="CE37" s="370" t="s">
        <v>66</v>
      </c>
      <c r="CF37" s="42">
        <v>0</v>
      </c>
      <c r="CG37" s="370">
        <v>0</v>
      </c>
      <c r="CH37" s="370" t="s">
        <v>67</v>
      </c>
      <c r="CJ37" s="358"/>
    </row>
    <row r="38" spans="1:88" ht="20" customHeight="1">
      <c r="A38" s="236">
        <f>A37*0.76+A41*0.24</f>
        <v>0</v>
      </c>
      <c r="B38" s="356">
        <f>ABS($M$10-A38)</f>
        <v>0</v>
      </c>
      <c r="C38" s="357"/>
      <c r="D38" s="96"/>
      <c r="E38" s="234"/>
      <c r="F38" s="402"/>
      <c r="G38" s="402"/>
      <c r="H38" s="83" t="s">
        <v>98</v>
      </c>
      <c r="I38" s="227">
        <f>IF(M10=N10,A38,N38)</f>
        <v>0</v>
      </c>
      <c r="J38" s="104">
        <f t="shared" si="32"/>
        <v>0</v>
      </c>
      <c r="K38" s="323"/>
      <c r="L38" s="324"/>
      <c r="M38" s="355"/>
      <c r="N38" s="239">
        <f>IF(B37=B38,$M$10,IF(B37=$C$37,$M$10, IF(B38&lt;=$C$37,$M$10,A38)))</f>
        <v>0</v>
      </c>
      <c r="O38" s="229"/>
      <c r="P38" s="229"/>
      <c r="V38" s="20"/>
      <c r="W38" s="20"/>
      <c r="X38" s="20"/>
      <c r="AG38" s="5"/>
      <c r="AH38" s="5"/>
      <c r="AI38" s="5"/>
      <c r="AJ38" s="34"/>
      <c r="AK38" s="34"/>
      <c r="AL38" s="34"/>
      <c r="AM38" s="34"/>
      <c r="AT38" s="401"/>
      <c r="AU38" s="401"/>
      <c r="AV38" s="370" t="s">
        <v>31</v>
      </c>
      <c r="AW38" s="42">
        <v>1</v>
      </c>
      <c r="AX38" s="370">
        <v>0</v>
      </c>
      <c r="AY38" s="370" t="s">
        <v>68</v>
      </c>
      <c r="AZ38" s="401"/>
      <c r="BA38" s="401"/>
      <c r="BB38" s="370" t="s">
        <v>31</v>
      </c>
      <c r="BC38" s="42">
        <v>1</v>
      </c>
      <c r="BD38" s="370">
        <v>0</v>
      </c>
      <c r="BE38" s="370" t="s">
        <v>68</v>
      </c>
      <c r="BJ38" s="5"/>
      <c r="BK38" s="5"/>
      <c r="BL38" s="5"/>
      <c r="BM38" s="34"/>
      <c r="BN38" s="34"/>
      <c r="BO38" s="34"/>
      <c r="BP38" s="34"/>
      <c r="BQ38" s="5"/>
      <c r="BR38" s="17"/>
      <c r="BS38" s="17"/>
      <c r="BT38" s="17"/>
      <c r="BW38" s="401"/>
      <c r="BX38" s="401"/>
      <c r="BY38" s="370" t="s">
        <v>31</v>
      </c>
      <c r="BZ38" s="42">
        <v>1</v>
      </c>
      <c r="CA38" s="370">
        <v>0</v>
      </c>
      <c r="CB38" s="370" t="s">
        <v>68</v>
      </c>
      <c r="CC38" s="401"/>
      <c r="CD38" s="401"/>
      <c r="CE38" s="370" t="s">
        <v>31</v>
      </c>
      <c r="CF38" s="42">
        <v>1</v>
      </c>
      <c r="CG38" s="370">
        <v>0</v>
      </c>
      <c r="CH38" s="370" t="s">
        <v>68</v>
      </c>
      <c r="CJ38" s="358"/>
    </row>
    <row r="39" spans="1:88" ht="20" customHeight="1">
      <c r="A39" s="236">
        <f>A37*0.5+A41*0.5</f>
        <v>0</v>
      </c>
      <c r="B39" s="356">
        <f>ABS($M$10-A39)</f>
        <v>0</v>
      </c>
      <c r="C39" s="357"/>
      <c r="D39" s="96"/>
      <c r="E39" s="234"/>
      <c r="F39" s="402"/>
      <c r="G39" s="402"/>
      <c r="H39" s="83" t="s">
        <v>98</v>
      </c>
      <c r="I39" s="227">
        <f>IF(B39&lt;=$C$37,$M$10,A39)</f>
        <v>0</v>
      </c>
      <c r="J39" s="104">
        <f t="shared" si="32"/>
        <v>0</v>
      </c>
      <c r="K39" s="323"/>
      <c r="L39" s="324"/>
      <c r="M39" s="355"/>
      <c r="N39" s="239"/>
      <c r="O39" s="229"/>
      <c r="P39" s="229"/>
      <c r="V39" s="20"/>
      <c r="W39" s="20"/>
      <c r="X39" s="20"/>
      <c r="AG39" s="5"/>
      <c r="AH39" s="5"/>
      <c r="AI39" s="5"/>
      <c r="AJ39" s="34"/>
      <c r="AK39" s="34"/>
      <c r="AL39" s="34"/>
      <c r="AM39" s="34"/>
      <c r="AT39" s="401"/>
      <c r="AU39" s="401"/>
      <c r="AV39" s="370" t="s">
        <v>69</v>
      </c>
      <c r="AW39" s="42" t="e">
        <v>#NUM!</v>
      </c>
      <c r="AX39" s="370">
        <v>3</v>
      </c>
      <c r="AY39" s="370" t="s">
        <v>70</v>
      </c>
      <c r="AZ39" s="401"/>
      <c r="BA39" s="401"/>
      <c r="BB39" s="370" t="s">
        <v>69</v>
      </c>
      <c r="BC39" s="42" t="e">
        <v>#NUM!</v>
      </c>
      <c r="BD39" s="370">
        <v>5</v>
      </c>
      <c r="BE39" s="370" t="s">
        <v>70</v>
      </c>
      <c r="BJ39" s="5"/>
      <c r="BK39" s="5"/>
      <c r="BL39" s="5"/>
      <c r="BM39" s="34"/>
      <c r="BN39" s="34"/>
      <c r="BO39" s="34"/>
      <c r="BP39" s="34"/>
      <c r="BQ39" s="5"/>
      <c r="BR39" s="17"/>
      <c r="BS39" s="17"/>
      <c r="BT39" s="17"/>
      <c r="BW39" s="401"/>
      <c r="BX39" s="401"/>
      <c r="BY39" s="370" t="s">
        <v>69</v>
      </c>
      <c r="BZ39" s="42" t="e">
        <v>#NUM!</v>
      </c>
      <c r="CA39" s="370">
        <v>3</v>
      </c>
      <c r="CB39" s="370" t="s">
        <v>70</v>
      </c>
      <c r="CC39" s="401"/>
      <c r="CD39" s="401"/>
      <c r="CE39" s="370" t="s">
        <v>69</v>
      </c>
      <c r="CF39" s="42" t="e">
        <v>#NUM!</v>
      </c>
      <c r="CG39" s="370">
        <v>5</v>
      </c>
      <c r="CH39" s="370" t="s">
        <v>70</v>
      </c>
      <c r="CJ39" s="358"/>
    </row>
    <row r="40" spans="1:88" ht="20" customHeight="1">
      <c r="A40" s="236">
        <f>A37*0.26+A41*0.74</f>
        <v>0</v>
      </c>
      <c r="B40" s="356">
        <f>ABS($M$10-A40)</f>
        <v>0</v>
      </c>
      <c r="C40" s="357"/>
      <c r="D40" s="96"/>
      <c r="E40" s="234"/>
      <c r="F40" s="402"/>
      <c r="G40" s="402"/>
      <c r="H40" s="83" t="s">
        <v>98</v>
      </c>
      <c r="I40" s="227">
        <f>IF(M10=O10,A40,N40)</f>
        <v>0</v>
      </c>
      <c r="J40" s="104">
        <f t="shared" si="32"/>
        <v>0</v>
      </c>
      <c r="K40" s="323"/>
      <c r="L40" s="324"/>
      <c r="M40" s="355"/>
      <c r="N40" s="239">
        <f>IF(B40=B41,$M$10, IF(B41=$C$37,$M$10, IF(B40&lt;=$C$37,$M$10,A40)))</f>
        <v>0</v>
      </c>
      <c r="O40" s="229"/>
      <c r="P40" s="229"/>
      <c r="V40" s="20"/>
      <c r="W40" s="20"/>
      <c r="X40" s="20"/>
      <c r="AG40" s="5"/>
      <c r="AH40" s="5"/>
      <c r="AI40" s="5"/>
      <c r="AJ40" s="34"/>
      <c r="AK40" s="34"/>
      <c r="AL40" s="34"/>
      <c r="AM40" s="34"/>
      <c r="AT40" s="400"/>
      <c r="AU40" s="400"/>
      <c r="AV40" s="39" t="s">
        <v>71</v>
      </c>
      <c r="AW40" s="43">
        <v>0</v>
      </c>
      <c r="AX40" s="39">
        <v>0</v>
      </c>
      <c r="AY40" s="39" t="s">
        <v>72</v>
      </c>
      <c r="AZ40" s="400"/>
      <c r="BA40" s="400"/>
      <c r="BB40" s="39" t="s">
        <v>71</v>
      </c>
      <c r="BC40" s="43">
        <v>0</v>
      </c>
      <c r="BD40" s="39">
        <v>0</v>
      </c>
      <c r="BE40" s="39" t="s">
        <v>72</v>
      </c>
      <c r="BJ40" s="5"/>
      <c r="BK40" s="5"/>
      <c r="BL40" s="5"/>
      <c r="BM40" s="34"/>
      <c r="BN40" s="34"/>
      <c r="BO40" s="34"/>
      <c r="BP40" s="34"/>
      <c r="BQ40" s="5"/>
      <c r="BR40" s="17"/>
      <c r="BS40" s="17"/>
      <c r="BT40" s="17"/>
      <c r="BW40" s="400"/>
      <c r="BX40" s="400"/>
      <c r="BY40" s="39" t="s">
        <v>71</v>
      </c>
      <c r="BZ40" s="43">
        <v>0</v>
      </c>
      <c r="CA40" s="39">
        <v>0</v>
      </c>
      <c r="CB40" s="39" t="s">
        <v>72</v>
      </c>
      <c r="CC40" s="400"/>
      <c r="CD40" s="400"/>
      <c r="CE40" s="39" t="s">
        <v>71</v>
      </c>
      <c r="CF40" s="43">
        <v>0</v>
      </c>
      <c r="CG40" s="39">
        <v>0</v>
      </c>
      <c r="CH40" s="39" t="s">
        <v>72</v>
      </c>
      <c r="CJ40" s="358"/>
    </row>
    <row r="41" spans="1:88" ht="20" customHeight="1">
      <c r="A41" s="236">
        <f>O10</f>
        <v>0</v>
      </c>
      <c r="B41" s="356">
        <f>ABS($M$10-A41)</f>
        <v>0</v>
      </c>
      <c r="C41" s="357"/>
      <c r="D41" s="96"/>
      <c r="E41" s="234"/>
      <c r="F41" s="402"/>
      <c r="G41" s="402"/>
      <c r="H41" s="84" t="s">
        <v>43</v>
      </c>
      <c r="I41" s="104">
        <f>O10</f>
        <v>0</v>
      </c>
      <c r="J41" s="104">
        <f t="shared" si="32"/>
        <v>0</v>
      </c>
      <c r="K41" s="323"/>
      <c r="L41" s="324"/>
      <c r="M41" s="355"/>
      <c r="N41" s="240"/>
      <c r="O41" s="229"/>
      <c r="P41" s="229"/>
      <c r="V41" s="20"/>
      <c r="W41" s="20"/>
      <c r="X41" s="20"/>
      <c r="AG41" s="5"/>
      <c r="AH41" s="5"/>
      <c r="AI41" s="5"/>
      <c r="AJ41" s="34"/>
      <c r="AK41" s="34"/>
      <c r="AL41" s="34"/>
      <c r="AM41" s="34"/>
      <c r="AT41" s="398">
        <v>3</v>
      </c>
      <c r="AU41" s="398" t="s">
        <v>33</v>
      </c>
      <c r="AV41" s="5" t="s">
        <v>57</v>
      </c>
      <c r="AW41" s="38">
        <f t="array" ref="AW41:AX45">LINEST(AR16:AR20,AQ16:AQ20^{1,2},TRUE,TRUE)</f>
        <v>0</v>
      </c>
      <c r="AX41" s="370">
        <v>0</v>
      </c>
      <c r="AY41" s="5" t="s">
        <v>65</v>
      </c>
      <c r="AZ41" s="398">
        <v>6</v>
      </c>
      <c r="BA41" s="398" t="s">
        <v>33</v>
      </c>
      <c r="BB41" s="5" t="s">
        <v>57</v>
      </c>
      <c r="BC41" s="36">
        <f t="array" ref="BC41:BD45">LINEST(AR25:AR31,AQ25:AQ31^{1,2},TRUE,TRUE)</f>
        <v>0</v>
      </c>
      <c r="BD41" s="370">
        <v>0</v>
      </c>
      <c r="BE41" s="5" t="s">
        <v>65</v>
      </c>
      <c r="BJ41" s="5"/>
      <c r="BK41" s="5"/>
      <c r="BL41" s="5"/>
      <c r="BM41" s="34"/>
      <c r="BN41" s="34"/>
      <c r="BO41" s="34"/>
      <c r="BP41" s="34"/>
      <c r="BQ41" s="5"/>
      <c r="BR41" s="17"/>
      <c r="BS41" s="17"/>
      <c r="BT41" s="17"/>
      <c r="BW41" s="398">
        <v>3</v>
      </c>
      <c r="BX41" s="398" t="s">
        <v>33</v>
      </c>
      <c r="BY41" s="5" t="s">
        <v>57</v>
      </c>
      <c r="BZ41" s="38">
        <f t="array" ref="BZ41:CA45">LINEST(BU16:BU20,BT16:BT20^{1,2},TRUE,TRUE)</f>
        <v>0</v>
      </c>
      <c r="CA41" s="370">
        <v>0</v>
      </c>
      <c r="CB41" s="5" t="s">
        <v>65</v>
      </c>
      <c r="CC41" s="398">
        <v>6</v>
      </c>
      <c r="CD41" s="398" t="s">
        <v>33</v>
      </c>
      <c r="CE41" s="5" t="s">
        <v>57</v>
      </c>
      <c r="CF41" s="36">
        <f t="array" ref="CF41:CG45">LINEST(BU25:BU31,BT25:BT31^{1,2},TRUE,TRUE)</f>
        <v>0</v>
      </c>
      <c r="CG41" s="370">
        <v>0</v>
      </c>
      <c r="CH41" s="5" t="s">
        <v>65</v>
      </c>
      <c r="CJ41" s="358"/>
    </row>
    <row r="42" spans="1:88" ht="20" customHeight="1">
      <c r="A42" s="236">
        <f>N11</f>
        <v>0</v>
      </c>
      <c r="B42" s="356">
        <f>ABS($M$11-A42)</f>
        <v>0</v>
      </c>
      <c r="C42" s="279">
        <f>MIN(B42:B46)</f>
        <v>0</v>
      </c>
      <c r="D42" s="96"/>
      <c r="E42" s="234"/>
      <c r="F42" s="397">
        <v>5</v>
      </c>
      <c r="G42" s="397"/>
      <c r="H42" s="101" t="s">
        <v>42</v>
      </c>
      <c r="I42" s="105">
        <f>N11</f>
        <v>0</v>
      </c>
      <c r="J42" s="104">
        <f t="shared" si="32"/>
        <v>0</v>
      </c>
      <c r="K42" s="332"/>
      <c r="L42" s="326"/>
      <c r="M42" s="355"/>
      <c r="N42" s="240"/>
      <c r="O42" s="229"/>
      <c r="P42" s="229"/>
      <c r="V42" s="20"/>
      <c r="W42" s="20"/>
      <c r="X42" s="20"/>
      <c r="AG42" s="5"/>
      <c r="AH42" s="5"/>
      <c r="AI42" s="5"/>
      <c r="AJ42" s="34"/>
      <c r="AK42" s="34"/>
      <c r="AL42" s="34"/>
      <c r="AM42" s="34"/>
      <c r="AT42" s="399"/>
      <c r="AU42" s="399"/>
      <c r="AV42" s="5" t="s">
        <v>66</v>
      </c>
      <c r="AW42" s="42">
        <v>0</v>
      </c>
      <c r="AX42" s="370">
        <v>0</v>
      </c>
      <c r="AY42" s="5" t="s">
        <v>67</v>
      </c>
      <c r="AZ42" s="399"/>
      <c r="BA42" s="399"/>
      <c r="BB42" s="5" t="s">
        <v>66</v>
      </c>
      <c r="BC42" s="42">
        <v>0</v>
      </c>
      <c r="BD42" s="370">
        <v>0</v>
      </c>
      <c r="BE42" s="5" t="s">
        <v>67</v>
      </c>
      <c r="BJ42" s="5"/>
      <c r="BK42" s="5"/>
      <c r="BL42" s="5"/>
      <c r="BM42" s="34"/>
      <c r="BN42" s="34"/>
      <c r="BO42" s="34"/>
      <c r="BP42" s="34"/>
      <c r="BQ42" s="5"/>
      <c r="BR42" s="17"/>
      <c r="BS42" s="17"/>
      <c r="BT42" s="17"/>
      <c r="BW42" s="399"/>
      <c r="BX42" s="399"/>
      <c r="BY42" s="5" t="s">
        <v>66</v>
      </c>
      <c r="BZ42" s="42">
        <v>0</v>
      </c>
      <c r="CA42" s="370">
        <v>0</v>
      </c>
      <c r="CB42" s="5" t="s">
        <v>67</v>
      </c>
      <c r="CC42" s="399"/>
      <c r="CD42" s="399"/>
      <c r="CE42" s="5" t="s">
        <v>66</v>
      </c>
      <c r="CF42" s="42">
        <v>0</v>
      </c>
      <c r="CG42" s="370">
        <v>0</v>
      </c>
      <c r="CH42" s="5" t="s">
        <v>67</v>
      </c>
      <c r="CJ42" s="358"/>
    </row>
    <row r="43" spans="1:88" ht="20" customHeight="1">
      <c r="A43" s="236">
        <f>A42*0.76+A46*0.24</f>
        <v>0</v>
      </c>
      <c r="B43" s="356">
        <f>ABS($M$11-A43)</f>
        <v>0</v>
      </c>
      <c r="C43" s="357"/>
      <c r="D43" s="96"/>
      <c r="E43" s="234"/>
      <c r="F43" s="397"/>
      <c r="G43" s="397"/>
      <c r="H43" s="102" t="s">
        <v>98</v>
      </c>
      <c r="I43" s="227">
        <f>IF(M11=N11,A43,N43)</f>
        <v>0</v>
      </c>
      <c r="J43" s="104">
        <f t="shared" si="32"/>
        <v>0</v>
      </c>
      <c r="K43" s="332"/>
      <c r="L43" s="326"/>
      <c r="M43" s="355"/>
      <c r="N43" s="239">
        <f>IF(B42=B43,$M$11,IF(B42=$C$42,$M$11, IF(B43&lt;=$C$42,$M$11,A43)))</f>
        <v>0</v>
      </c>
      <c r="O43" s="229"/>
      <c r="P43" s="229"/>
      <c r="V43" s="20"/>
      <c r="W43" s="20"/>
      <c r="X43" s="20"/>
      <c r="AG43" s="5"/>
      <c r="AH43" s="5"/>
      <c r="AI43" s="5"/>
      <c r="AJ43" s="34"/>
      <c r="AK43" s="34"/>
      <c r="AL43" s="34"/>
      <c r="AM43" s="34"/>
      <c r="AT43" s="399"/>
      <c r="AU43" s="399"/>
      <c r="AV43" s="5" t="s">
        <v>31</v>
      </c>
      <c r="AW43" s="42">
        <v>1</v>
      </c>
      <c r="AX43" s="370">
        <v>0</v>
      </c>
      <c r="AY43" s="5" t="s">
        <v>68</v>
      </c>
      <c r="AZ43" s="399"/>
      <c r="BA43" s="399"/>
      <c r="BB43" s="5" t="s">
        <v>31</v>
      </c>
      <c r="BC43" s="42">
        <v>1</v>
      </c>
      <c r="BD43" s="370">
        <v>0</v>
      </c>
      <c r="BE43" s="5" t="s">
        <v>68</v>
      </c>
      <c r="BJ43" s="5"/>
      <c r="BK43" s="5"/>
      <c r="BL43" s="5"/>
      <c r="BM43" s="34"/>
      <c r="BN43" s="34"/>
      <c r="BO43" s="34"/>
      <c r="BP43" s="34"/>
      <c r="BQ43" s="5"/>
      <c r="BR43" s="17"/>
      <c r="BS43" s="17"/>
      <c r="BT43" s="17"/>
      <c r="BW43" s="399"/>
      <c r="BX43" s="399"/>
      <c r="BY43" s="5" t="s">
        <v>31</v>
      </c>
      <c r="BZ43" s="42">
        <v>1</v>
      </c>
      <c r="CA43" s="370">
        <v>0</v>
      </c>
      <c r="CB43" s="5" t="s">
        <v>68</v>
      </c>
      <c r="CC43" s="399"/>
      <c r="CD43" s="399"/>
      <c r="CE43" s="5" t="s">
        <v>31</v>
      </c>
      <c r="CF43" s="42">
        <v>1</v>
      </c>
      <c r="CG43" s="370">
        <v>0</v>
      </c>
      <c r="CH43" s="5" t="s">
        <v>68</v>
      </c>
      <c r="CJ43" s="358"/>
    </row>
    <row r="44" spans="1:88" ht="20" customHeight="1">
      <c r="A44" s="236">
        <f>A42*0.5+A46*0.5</f>
        <v>0</v>
      </c>
      <c r="B44" s="356">
        <f>ABS($M$11-A44)</f>
        <v>0</v>
      </c>
      <c r="C44" s="357"/>
      <c r="D44" s="96"/>
      <c r="E44" s="234"/>
      <c r="F44" s="397"/>
      <c r="G44" s="397"/>
      <c r="H44" s="102" t="s">
        <v>98</v>
      </c>
      <c r="I44" s="227">
        <f>IF(B44&lt;=$C$42,$M$11,A44)</f>
        <v>0</v>
      </c>
      <c r="J44" s="104">
        <f t="shared" si="32"/>
        <v>0</v>
      </c>
      <c r="K44" s="332"/>
      <c r="L44" s="326"/>
      <c r="M44" s="355"/>
      <c r="N44" s="239"/>
      <c r="O44" s="229"/>
      <c r="P44" s="229"/>
      <c r="AG44" s="5"/>
      <c r="AH44" s="5"/>
      <c r="AI44" s="5"/>
      <c r="AJ44" s="34"/>
      <c r="AK44" s="34"/>
      <c r="AL44" s="34"/>
      <c r="AM44" s="34"/>
      <c r="AT44" s="399"/>
      <c r="AU44" s="399"/>
      <c r="AV44" s="5" t="s">
        <v>69</v>
      </c>
      <c r="AW44" s="42" t="e">
        <v>#NUM!</v>
      </c>
      <c r="AX44" s="370">
        <v>2</v>
      </c>
      <c r="AY44" s="5" t="s">
        <v>70</v>
      </c>
      <c r="AZ44" s="399"/>
      <c r="BA44" s="399"/>
      <c r="BB44" s="5" t="s">
        <v>69</v>
      </c>
      <c r="BC44" s="42" t="e">
        <v>#NUM!</v>
      </c>
      <c r="BD44" s="370">
        <v>4</v>
      </c>
      <c r="BE44" s="5" t="s">
        <v>70</v>
      </c>
      <c r="BJ44" s="5"/>
      <c r="BK44" s="5"/>
      <c r="BL44" s="5"/>
      <c r="BM44" s="34"/>
      <c r="BN44" s="34"/>
      <c r="BO44" s="34"/>
      <c r="BP44" s="34"/>
      <c r="BQ44" s="5"/>
      <c r="BR44" s="17"/>
      <c r="BS44" s="17"/>
      <c r="BT44" s="17"/>
      <c r="BW44" s="399"/>
      <c r="BX44" s="399"/>
      <c r="BY44" s="5" t="s">
        <v>69</v>
      </c>
      <c r="BZ44" s="42" t="e">
        <v>#NUM!</v>
      </c>
      <c r="CA44" s="370">
        <v>2</v>
      </c>
      <c r="CB44" s="5" t="s">
        <v>70</v>
      </c>
      <c r="CC44" s="399"/>
      <c r="CD44" s="399"/>
      <c r="CE44" s="5" t="s">
        <v>69</v>
      </c>
      <c r="CF44" s="42" t="e">
        <v>#NUM!</v>
      </c>
      <c r="CG44" s="370">
        <v>4</v>
      </c>
      <c r="CH44" s="5" t="s">
        <v>70</v>
      </c>
      <c r="CJ44" s="358"/>
    </row>
    <row r="45" spans="1:88" ht="20" customHeight="1">
      <c r="A45" s="236">
        <f>A42*0.26+A46*0.74</f>
        <v>0</v>
      </c>
      <c r="B45" s="356">
        <f>ABS($M$11-A45)</f>
        <v>0</v>
      </c>
      <c r="C45" s="357"/>
      <c r="D45" s="96"/>
      <c r="E45" s="234"/>
      <c r="F45" s="397"/>
      <c r="G45" s="397"/>
      <c r="H45" s="102" t="s">
        <v>98</v>
      </c>
      <c r="I45" s="227">
        <f>IF(M11=O11,A45,N45)</f>
        <v>0</v>
      </c>
      <c r="J45" s="104">
        <f t="shared" si="32"/>
        <v>0</v>
      </c>
      <c r="K45" s="332"/>
      <c r="L45" s="326"/>
      <c r="M45" s="355"/>
      <c r="N45" s="239">
        <f>IF(B45=B46,$M$11, IF(B46=$C$42,$M$11, IF(B45&lt;=$C$42,$M$11,A45)))</f>
        <v>0</v>
      </c>
      <c r="O45" s="229"/>
      <c r="P45" s="229"/>
      <c r="AG45" s="5"/>
      <c r="AH45" s="5"/>
      <c r="AI45" s="5"/>
      <c r="AJ45" s="34"/>
      <c r="AK45" s="34"/>
      <c r="AL45" s="34"/>
      <c r="AM45" s="34"/>
      <c r="AT45" s="400"/>
      <c r="AU45" s="400"/>
      <c r="AV45" s="5" t="s">
        <v>71</v>
      </c>
      <c r="AW45" s="42">
        <v>0</v>
      </c>
      <c r="AX45" s="370">
        <v>0</v>
      </c>
      <c r="AY45" s="5" t="s">
        <v>72</v>
      </c>
      <c r="AZ45" s="400"/>
      <c r="BA45" s="400"/>
      <c r="BB45" s="5" t="s">
        <v>71</v>
      </c>
      <c r="BC45" s="42">
        <v>0</v>
      </c>
      <c r="BD45" s="370">
        <v>0</v>
      </c>
      <c r="BE45" s="5" t="s">
        <v>72</v>
      </c>
      <c r="BJ45" s="5"/>
      <c r="BK45" s="5"/>
      <c r="BL45" s="5"/>
      <c r="BM45" s="34"/>
      <c r="BN45" s="34"/>
      <c r="BO45" s="34"/>
      <c r="BP45" s="34"/>
      <c r="BQ45" s="5"/>
      <c r="BR45" s="17"/>
      <c r="BS45" s="17"/>
      <c r="BT45" s="17"/>
      <c r="BW45" s="400"/>
      <c r="BX45" s="400"/>
      <c r="BY45" s="5" t="s">
        <v>71</v>
      </c>
      <c r="BZ45" s="42">
        <v>0</v>
      </c>
      <c r="CA45" s="370">
        <v>0</v>
      </c>
      <c r="CB45" s="5" t="s">
        <v>72</v>
      </c>
      <c r="CC45" s="400"/>
      <c r="CD45" s="400"/>
      <c r="CE45" s="5" t="s">
        <v>71</v>
      </c>
      <c r="CF45" s="42">
        <v>0</v>
      </c>
      <c r="CG45" s="370">
        <v>0</v>
      </c>
      <c r="CH45" s="5" t="s">
        <v>72</v>
      </c>
      <c r="CJ45" s="358"/>
    </row>
    <row r="46" spans="1:88" ht="20" customHeight="1">
      <c r="A46" s="236">
        <f>O11</f>
        <v>0</v>
      </c>
      <c r="B46" s="356">
        <f>ABS($M$11-A46)</f>
        <v>0</v>
      </c>
      <c r="C46" s="357"/>
      <c r="D46" s="96"/>
      <c r="E46" s="234"/>
      <c r="F46" s="397"/>
      <c r="G46" s="397"/>
      <c r="H46" s="101" t="s">
        <v>43</v>
      </c>
      <c r="I46" s="105">
        <f>O11</f>
        <v>0</v>
      </c>
      <c r="J46" s="104">
        <f t="shared" si="32"/>
        <v>0</v>
      </c>
      <c r="K46" s="332"/>
      <c r="L46" s="326"/>
      <c r="M46" s="355"/>
      <c r="N46" s="240"/>
      <c r="O46" s="229"/>
      <c r="P46" s="229"/>
      <c r="AG46" s="5"/>
      <c r="AH46" s="5"/>
      <c r="AI46" s="5"/>
      <c r="AJ46" s="34"/>
      <c r="AK46" s="34"/>
      <c r="AL46" s="34"/>
      <c r="AM46" s="34"/>
      <c r="AT46" s="398">
        <v>3</v>
      </c>
      <c r="AU46" s="398" t="s">
        <v>30</v>
      </c>
      <c r="AV46" s="35" t="s">
        <v>57</v>
      </c>
      <c r="AW46" s="36">
        <f t="array" ref="AW46:AX50">LINEST(AR16:AR20,AQ16:AQ20^{1,2,3},TRUE,TRUE)</f>
        <v>0</v>
      </c>
      <c r="AX46" s="35">
        <v>0</v>
      </c>
      <c r="AY46" s="35" t="s">
        <v>65</v>
      </c>
      <c r="AZ46" s="398">
        <v>6</v>
      </c>
      <c r="BA46" s="398" t="s">
        <v>30</v>
      </c>
      <c r="BB46" s="35" t="s">
        <v>57</v>
      </c>
      <c r="BC46" s="36">
        <f t="array" ref="BC46:BD50">LINEST(AR25:AR31,AQ25:AQ31^{1,2,3},TRUE,TRUE)</f>
        <v>0</v>
      </c>
      <c r="BD46" s="35">
        <v>0</v>
      </c>
      <c r="BE46" s="35" t="s">
        <v>65</v>
      </c>
      <c r="BJ46" s="5"/>
      <c r="BK46" s="5"/>
      <c r="BL46" s="5"/>
      <c r="BM46" s="34"/>
      <c r="BN46" s="34"/>
      <c r="BO46" s="34"/>
      <c r="BP46" s="34"/>
      <c r="BQ46" s="5"/>
      <c r="BR46" s="17"/>
      <c r="BS46" s="17"/>
      <c r="BT46" s="17"/>
      <c r="BW46" s="398">
        <v>3</v>
      </c>
      <c r="BX46" s="398" t="s">
        <v>30</v>
      </c>
      <c r="BY46" s="35" t="s">
        <v>57</v>
      </c>
      <c r="BZ46" s="36">
        <f t="array" ref="BZ46:CA50">LINEST(BU16:BU20,BT16:BT20^{1,2,3},TRUE,TRUE)</f>
        <v>0</v>
      </c>
      <c r="CA46" s="35">
        <v>0</v>
      </c>
      <c r="CB46" s="35" t="s">
        <v>65</v>
      </c>
      <c r="CC46" s="398">
        <v>6</v>
      </c>
      <c r="CD46" s="398" t="s">
        <v>30</v>
      </c>
      <c r="CE46" s="35" t="s">
        <v>57</v>
      </c>
      <c r="CF46" s="36">
        <f t="array" ref="CF46:CG50">LINEST(BU25:BU31,BT25:BT31^{1,2,3},TRUE,TRUE)</f>
        <v>0</v>
      </c>
      <c r="CG46" s="35">
        <v>0</v>
      </c>
      <c r="CH46" s="35" t="s">
        <v>65</v>
      </c>
      <c r="CJ46" s="358"/>
    </row>
    <row r="47" spans="1:88" ht="20" customHeight="1">
      <c r="A47" s="236">
        <f>N12</f>
        <v>0</v>
      </c>
      <c r="B47" s="356">
        <f>ABS($M$12-A47)</f>
        <v>0</v>
      </c>
      <c r="C47" s="279">
        <f>MIN(B47:B51)</f>
        <v>0</v>
      </c>
      <c r="D47" s="96"/>
      <c r="E47" s="234"/>
      <c r="F47" s="397">
        <v>6</v>
      </c>
      <c r="G47" s="397"/>
      <c r="H47" s="101" t="s">
        <v>42</v>
      </c>
      <c r="I47" s="105">
        <f>N12</f>
        <v>0</v>
      </c>
      <c r="J47" s="104">
        <f t="shared" si="32"/>
        <v>0</v>
      </c>
      <c r="K47" s="332"/>
      <c r="L47" s="326"/>
      <c r="M47" s="355"/>
      <c r="N47" s="240"/>
      <c r="O47" s="229"/>
      <c r="P47" s="229"/>
      <c r="AG47" s="5"/>
      <c r="AH47" s="5"/>
      <c r="AI47" s="5"/>
      <c r="AJ47" s="34"/>
      <c r="AK47" s="34"/>
      <c r="AL47" s="34"/>
      <c r="AM47" s="34"/>
      <c r="AT47" s="401"/>
      <c r="AU47" s="401"/>
      <c r="AV47" s="370" t="s">
        <v>66</v>
      </c>
      <c r="AW47" s="42">
        <v>0</v>
      </c>
      <c r="AX47" s="370">
        <v>0</v>
      </c>
      <c r="AY47" s="370" t="s">
        <v>67</v>
      </c>
      <c r="AZ47" s="401"/>
      <c r="BA47" s="401"/>
      <c r="BB47" s="370" t="s">
        <v>66</v>
      </c>
      <c r="BC47" s="42">
        <v>0</v>
      </c>
      <c r="BD47" s="370">
        <v>0</v>
      </c>
      <c r="BE47" s="370" t="s">
        <v>67</v>
      </c>
      <c r="BJ47" s="5"/>
      <c r="BK47" s="5"/>
      <c r="BL47" s="5"/>
      <c r="BM47" s="34"/>
      <c r="BN47" s="34"/>
      <c r="BO47" s="34"/>
      <c r="BP47" s="34"/>
      <c r="BQ47" s="5"/>
      <c r="BR47" s="17"/>
      <c r="BS47" s="17"/>
      <c r="BT47" s="17"/>
      <c r="BW47" s="401"/>
      <c r="BX47" s="401"/>
      <c r="BY47" s="370" t="s">
        <v>66</v>
      </c>
      <c r="BZ47" s="42">
        <v>0</v>
      </c>
      <c r="CA47" s="370">
        <v>0</v>
      </c>
      <c r="CB47" s="370" t="s">
        <v>67</v>
      </c>
      <c r="CC47" s="401"/>
      <c r="CD47" s="401"/>
      <c r="CE47" s="370" t="s">
        <v>66</v>
      </c>
      <c r="CF47" s="42">
        <v>0</v>
      </c>
      <c r="CG47" s="370">
        <v>0</v>
      </c>
      <c r="CH47" s="370" t="s">
        <v>67</v>
      </c>
      <c r="CJ47" s="358"/>
    </row>
    <row r="48" spans="1:88" ht="20" customHeight="1">
      <c r="A48" s="236">
        <f>A47*0.76+A51*0.24</f>
        <v>0</v>
      </c>
      <c r="B48" s="356">
        <f>ABS($M$12-A48)</f>
        <v>0</v>
      </c>
      <c r="C48" s="357"/>
      <c r="D48" s="96"/>
      <c r="E48" s="234"/>
      <c r="F48" s="397"/>
      <c r="G48" s="397"/>
      <c r="H48" s="102" t="s">
        <v>98</v>
      </c>
      <c r="I48" s="227">
        <f>IF(M12=N12,A48,N48)</f>
        <v>0</v>
      </c>
      <c r="J48" s="104">
        <f t="shared" si="32"/>
        <v>0</v>
      </c>
      <c r="K48" s="332"/>
      <c r="L48" s="326"/>
      <c r="M48" s="355"/>
      <c r="N48" s="239">
        <f>IF(B47=B48,$M$12,IF(B47=$C$47,$M$12, IF(B48&lt;=$C$47,$M$12,A48)))</f>
        <v>0</v>
      </c>
      <c r="O48" s="229"/>
      <c r="P48" s="229"/>
      <c r="AG48" s="5"/>
      <c r="AH48" s="5"/>
      <c r="AI48" s="5"/>
      <c r="AJ48" s="34"/>
      <c r="AK48" s="34"/>
      <c r="AL48" s="34"/>
      <c r="AM48" s="34"/>
      <c r="AT48" s="401"/>
      <c r="AU48" s="401"/>
      <c r="AV48" s="370" t="s">
        <v>31</v>
      </c>
      <c r="AW48" s="42">
        <v>1</v>
      </c>
      <c r="AX48" s="370">
        <v>0</v>
      </c>
      <c r="AY48" s="370" t="s">
        <v>68</v>
      </c>
      <c r="AZ48" s="401"/>
      <c r="BA48" s="401"/>
      <c r="BB48" s="370" t="s">
        <v>31</v>
      </c>
      <c r="BC48" s="42">
        <v>1</v>
      </c>
      <c r="BD48" s="370">
        <v>0</v>
      </c>
      <c r="BE48" s="370" t="s">
        <v>68</v>
      </c>
      <c r="BJ48" s="5"/>
      <c r="BK48" s="5"/>
      <c r="BL48" s="5"/>
      <c r="BM48" s="34"/>
      <c r="BN48" s="34"/>
      <c r="BO48" s="34"/>
      <c r="BP48" s="34"/>
      <c r="BQ48" s="5"/>
      <c r="BR48" s="17"/>
      <c r="BS48" s="17"/>
      <c r="BT48" s="17"/>
      <c r="BW48" s="401"/>
      <c r="BX48" s="401"/>
      <c r="BY48" s="370" t="s">
        <v>31</v>
      </c>
      <c r="BZ48" s="42">
        <v>1</v>
      </c>
      <c r="CA48" s="370">
        <v>0</v>
      </c>
      <c r="CB48" s="370" t="s">
        <v>68</v>
      </c>
      <c r="CC48" s="401"/>
      <c r="CD48" s="401"/>
      <c r="CE48" s="370" t="s">
        <v>31</v>
      </c>
      <c r="CF48" s="42">
        <v>1</v>
      </c>
      <c r="CG48" s="370">
        <v>0</v>
      </c>
      <c r="CH48" s="370" t="s">
        <v>68</v>
      </c>
      <c r="CJ48" s="358"/>
    </row>
    <row r="49" spans="1:88" ht="20" customHeight="1">
      <c r="A49" s="236">
        <f>A47*0.5+A51*0.5</f>
        <v>0</v>
      </c>
      <c r="B49" s="356">
        <f>ABS($M$12-A49)</f>
        <v>0</v>
      </c>
      <c r="C49" s="357"/>
      <c r="D49" s="96"/>
      <c r="E49" s="234"/>
      <c r="F49" s="397"/>
      <c r="G49" s="397"/>
      <c r="H49" s="102" t="s">
        <v>98</v>
      </c>
      <c r="I49" s="227">
        <f>IF(B49&lt;=$C$47,$M$12,A49)</f>
        <v>0</v>
      </c>
      <c r="J49" s="104">
        <f t="shared" si="32"/>
        <v>0</v>
      </c>
      <c r="K49" s="332"/>
      <c r="L49" s="326"/>
      <c r="M49" s="355"/>
      <c r="N49" s="239"/>
      <c r="O49" s="229"/>
      <c r="P49" s="229"/>
      <c r="AG49" s="5"/>
      <c r="AH49" s="5"/>
      <c r="AI49" s="5"/>
      <c r="AJ49" s="34"/>
      <c r="AK49" s="34"/>
      <c r="AL49" s="34"/>
      <c r="AM49" s="34"/>
      <c r="AT49" s="401"/>
      <c r="AU49" s="401"/>
      <c r="AV49" s="370" t="s">
        <v>69</v>
      </c>
      <c r="AW49" s="42" t="e">
        <v>#NUM!</v>
      </c>
      <c r="AX49" s="370">
        <v>1</v>
      </c>
      <c r="AY49" s="370" t="s">
        <v>70</v>
      </c>
      <c r="AZ49" s="401"/>
      <c r="BA49" s="401"/>
      <c r="BB49" s="370" t="s">
        <v>69</v>
      </c>
      <c r="BC49" s="42" t="e">
        <v>#NUM!</v>
      </c>
      <c r="BD49" s="370">
        <v>3</v>
      </c>
      <c r="BE49" s="370" t="s">
        <v>70</v>
      </c>
      <c r="BJ49" s="5"/>
      <c r="BK49" s="5"/>
      <c r="BL49" s="5"/>
      <c r="BM49" s="34"/>
      <c r="BN49" s="34"/>
      <c r="BO49" s="34"/>
      <c r="BP49" s="34"/>
      <c r="BQ49" s="5"/>
      <c r="BR49" s="17"/>
      <c r="BS49" s="17"/>
      <c r="BT49" s="17"/>
      <c r="BW49" s="401"/>
      <c r="BX49" s="401"/>
      <c r="BY49" s="370" t="s">
        <v>69</v>
      </c>
      <c r="BZ49" s="42" t="e">
        <v>#NUM!</v>
      </c>
      <c r="CA49" s="370">
        <v>1</v>
      </c>
      <c r="CB49" s="370" t="s">
        <v>70</v>
      </c>
      <c r="CC49" s="401"/>
      <c r="CD49" s="401"/>
      <c r="CE49" s="370" t="s">
        <v>69</v>
      </c>
      <c r="CF49" s="42" t="e">
        <v>#NUM!</v>
      </c>
      <c r="CG49" s="370">
        <v>3</v>
      </c>
      <c r="CH49" s="370" t="s">
        <v>70</v>
      </c>
      <c r="CJ49" s="358"/>
    </row>
    <row r="50" spans="1:88" ht="20" customHeight="1">
      <c r="A50" s="236">
        <f>A47*0.26+A51*0.74</f>
        <v>0</v>
      </c>
      <c r="B50" s="356">
        <f>ABS($M$12-A50)</f>
        <v>0</v>
      </c>
      <c r="C50" s="357"/>
      <c r="D50" s="96"/>
      <c r="E50" s="234"/>
      <c r="F50" s="397"/>
      <c r="G50" s="397"/>
      <c r="H50" s="102" t="s">
        <v>98</v>
      </c>
      <c r="I50" s="227">
        <f>IF(M12=O12,A50,N50)</f>
        <v>0</v>
      </c>
      <c r="J50" s="104">
        <f t="shared" si="32"/>
        <v>0</v>
      </c>
      <c r="K50" s="332"/>
      <c r="L50" s="326"/>
      <c r="M50" s="355"/>
      <c r="N50" s="239">
        <f>IF(B50=B51,$M$12, IF(B51=$C$47,$M$12, IF(B50&lt;=$C$47,$M$12,A50)))</f>
        <v>0</v>
      </c>
      <c r="O50" s="229"/>
      <c r="P50" s="229"/>
      <c r="AG50" s="5"/>
      <c r="AH50" s="5"/>
      <c r="AI50" s="5"/>
      <c r="AJ50" s="34"/>
      <c r="AK50" s="34"/>
      <c r="AL50" s="34"/>
      <c r="AM50" s="34"/>
      <c r="AT50" s="400"/>
      <c r="AU50" s="400"/>
      <c r="AV50" s="39" t="s">
        <v>71</v>
      </c>
      <c r="AW50" s="39">
        <v>0</v>
      </c>
      <c r="AX50" s="39">
        <v>0</v>
      </c>
      <c r="AY50" s="39" t="s">
        <v>72</v>
      </c>
      <c r="AZ50" s="400"/>
      <c r="BA50" s="400"/>
      <c r="BB50" s="39" t="s">
        <v>71</v>
      </c>
      <c r="BC50" s="39">
        <v>0</v>
      </c>
      <c r="BD50" s="39">
        <v>0</v>
      </c>
      <c r="BE50" s="39" t="s">
        <v>72</v>
      </c>
      <c r="BJ50" s="5"/>
      <c r="BK50" s="5"/>
      <c r="BL50" s="5"/>
      <c r="BM50" s="34"/>
      <c r="BN50" s="34"/>
      <c r="BO50" s="34"/>
      <c r="BP50" s="34"/>
      <c r="BQ50" s="5"/>
      <c r="BR50" s="17"/>
      <c r="BS50" s="17"/>
      <c r="BT50" s="17"/>
      <c r="BW50" s="400"/>
      <c r="BX50" s="400"/>
      <c r="BY50" s="39" t="s">
        <v>71</v>
      </c>
      <c r="BZ50" s="39">
        <v>0</v>
      </c>
      <c r="CA50" s="39">
        <v>0</v>
      </c>
      <c r="CB50" s="39" t="s">
        <v>72</v>
      </c>
      <c r="CC50" s="400"/>
      <c r="CD50" s="400"/>
      <c r="CE50" s="39" t="s">
        <v>71</v>
      </c>
      <c r="CF50" s="39">
        <v>0</v>
      </c>
      <c r="CG50" s="39">
        <v>0</v>
      </c>
      <c r="CH50" s="39" t="s">
        <v>72</v>
      </c>
      <c r="CJ50" s="358"/>
    </row>
    <row r="51" spans="1:88" ht="20" customHeight="1">
      <c r="A51" s="236">
        <f>O12</f>
        <v>0</v>
      </c>
      <c r="B51" s="356">
        <f>ABS($M$12-A51)</f>
        <v>0</v>
      </c>
      <c r="C51" s="357"/>
      <c r="D51" s="96"/>
      <c r="E51" s="234"/>
      <c r="F51" s="397"/>
      <c r="G51" s="397"/>
      <c r="H51" s="101" t="s">
        <v>43</v>
      </c>
      <c r="I51" s="105">
        <f>O12</f>
        <v>0</v>
      </c>
      <c r="J51" s="104">
        <f t="shared" si="32"/>
        <v>0</v>
      </c>
      <c r="K51" s="332"/>
      <c r="L51" s="326"/>
      <c r="M51" s="355"/>
      <c r="N51" s="241"/>
      <c r="O51" s="229"/>
      <c r="P51" s="229"/>
      <c r="AG51" s="5"/>
      <c r="AH51" s="5"/>
      <c r="AI51" s="5"/>
      <c r="AJ51" s="34"/>
      <c r="AK51" s="34"/>
      <c r="AL51" s="34"/>
      <c r="AM51" s="34"/>
      <c r="CJ51" s="358"/>
    </row>
    <row r="52" spans="1:88" ht="20" customHeight="1">
      <c r="AG52" s="5"/>
      <c r="AH52" s="5"/>
      <c r="AI52" s="5"/>
      <c r="AJ52" s="34"/>
      <c r="AK52" s="34"/>
      <c r="AL52" s="34"/>
      <c r="AM52" s="34"/>
    </row>
    <row r="53" spans="1:88" ht="20" customHeight="1">
      <c r="F53" s="3"/>
      <c r="G53" s="3"/>
      <c r="H53" s="3"/>
      <c r="AG53" s="5"/>
      <c r="AH53" s="5"/>
      <c r="AI53" s="5"/>
      <c r="AJ53" s="34"/>
      <c r="AK53" s="34"/>
      <c r="AL53" s="34"/>
      <c r="AM53" s="34"/>
    </row>
    <row r="54" spans="1:88" ht="20" customHeight="1">
      <c r="F54" s="3"/>
      <c r="G54" s="3"/>
      <c r="H54" s="3"/>
      <c r="I54" s="228"/>
      <c r="J54" s="228"/>
      <c r="AG54" s="5"/>
      <c r="AH54" s="5"/>
      <c r="AI54" s="5"/>
      <c r="AJ54" s="34"/>
      <c r="AK54" s="34"/>
      <c r="AL54" s="34"/>
      <c r="AM54" s="34"/>
    </row>
    <row r="55" spans="1:88" ht="20" customHeight="1">
      <c r="F55" s="3"/>
      <c r="G55" s="3"/>
      <c r="H55" s="3"/>
      <c r="AG55" s="5"/>
      <c r="AH55" s="5"/>
      <c r="AI55" s="5"/>
      <c r="AJ55" s="34"/>
      <c r="AK55" s="34"/>
      <c r="AL55" s="34"/>
      <c r="AM55" s="34"/>
    </row>
    <row r="56" spans="1:88" ht="20" customHeight="1">
      <c r="L56" s="65"/>
      <c r="AG56" s="5"/>
      <c r="AH56" s="5"/>
      <c r="AI56" s="5"/>
      <c r="AJ56" s="34"/>
      <c r="AK56" s="34"/>
      <c r="AL56" s="34"/>
      <c r="AM56" s="34"/>
    </row>
    <row r="57" spans="1:88" ht="20" customHeight="1">
      <c r="E57" s="3"/>
      <c r="F57" s="3"/>
      <c r="G57" s="3"/>
      <c r="H57" s="3"/>
      <c r="AG57" s="5"/>
      <c r="AH57" s="5"/>
      <c r="AI57" s="5"/>
      <c r="AJ57" s="34"/>
      <c r="AK57" s="34"/>
      <c r="AL57" s="34"/>
      <c r="AM57" s="34"/>
    </row>
    <row r="58" spans="1:88" ht="20" customHeight="1">
      <c r="E58" s="3"/>
      <c r="F58" s="3"/>
      <c r="G58" s="3"/>
      <c r="H58" s="3"/>
      <c r="AG58" s="5"/>
      <c r="AH58" s="5"/>
      <c r="AI58" s="5"/>
      <c r="AJ58" s="34"/>
      <c r="AK58" s="34"/>
      <c r="AL58" s="34"/>
      <c r="AM58" s="34"/>
    </row>
    <row r="59" spans="1:88" ht="20" customHeight="1">
      <c r="E59" s="3"/>
      <c r="F59" s="3"/>
      <c r="G59" s="3"/>
      <c r="H59" s="3"/>
      <c r="AG59" s="5"/>
      <c r="AH59" s="5"/>
      <c r="AI59" s="5"/>
      <c r="AJ59" s="34"/>
      <c r="AK59" s="34"/>
      <c r="AL59" s="34"/>
      <c r="AM59" s="34"/>
    </row>
    <row r="60" spans="1:88" ht="20" customHeight="1">
      <c r="AG60" s="5"/>
      <c r="AH60" s="5"/>
      <c r="AI60" s="5"/>
      <c r="AJ60" s="34"/>
      <c r="AK60" s="34"/>
      <c r="AL60" s="34"/>
      <c r="AM60" s="34"/>
    </row>
    <row r="61" spans="1:88" ht="20" customHeight="1">
      <c r="E61" s="3"/>
      <c r="AG61" s="5"/>
      <c r="AH61" s="5"/>
      <c r="AI61" s="5"/>
      <c r="AJ61" s="34"/>
      <c r="AK61" s="34"/>
      <c r="AL61" s="34"/>
      <c r="AM61" s="34"/>
    </row>
    <row r="62" spans="1:88" ht="20" customHeight="1">
      <c r="E62" s="3"/>
      <c r="AG62" s="5"/>
      <c r="AH62" s="5"/>
      <c r="AI62" s="5"/>
      <c r="AJ62" s="34"/>
      <c r="AK62" s="34"/>
      <c r="AL62" s="34"/>
      <c r="AM62" s="34"/>
    </row>
    <row r="63" spans="1:88" ht="20" customHeight="1">
      <c r="E63" s="3"/>
      <c r="AG63" s="5"/>
      <c r="AH63" s="5"/>
      <c r="AI63" s="5"/>
      <c r="AJ63" s="34"/>
      <c r="AK63" s="34"/>
      <c r="AL63" s="34"/>
      <c r="AM63" s="34"/>
    </row>
    <row r="64" spans="1:88" ht="20" customHeight="1">
      <c r="AG64" s="5"/>
      <c r="AH64" s="5"/>
      <c r="AI64" s="5"/>
      <c r="AJ64" s="34"/>
      <c r="AK64" s="34"/>
      <c r="AL64" s="34"/>
      <c r="AM64" s="34"/>
    </row>
    <row r="65" spans="33:39" ht="20" customHeight="1">
      <c r="AG65" s="5"/>
      <c r="AH65" s="5"/>
      <c r="AI65" s="5"/>
      <c r="AJ65" s="34"/>
      <c r="AK65" s="34"/>
      <c r="AL65" s="34"/>
      <c r="AM65" s="34"/>
    </row>
    <row r="66" spans="33:39" ht="20" customHeight="1">
      <c r="AG66" s="5"/>
      <c r="AH66" s="5"/>
      <c r="AI66" s="5"/>
      <c r="AJ66" s="34"/>
      <c r="AK66" s="34"/>
      <c r="AL66" s="34"/>
      <c r="AM66" s="34"/>
    </row>
    <row r="67" spans="33:39" ht="20" customHeight="1">
      <c r="AG67" s="5"/>
      <c r="AH67" s="5"/>
      <c r="AI67" s="5"/>
      <c r="AJ67" s="34"/>
      <c r="AK67" s="34"/>
      <c r="AL67" s="34"/>
      <c r="AM67" s="34"/>
    </row>
    <row r="68" spans="33:39" ht="20" customHeight="1"/>
    <row r="69" spans="33:39" ht="20" customHeight="1"/>
    <row r="70" spans="33:39" ht="20" customHeight="1"/>
    <row r="71" spans="33:39" ht="20" customHeight="1"/>
    <row r="72" spans="33:39" ht="20" customHeight="1"/>
    <row r="73" spans="33:39" ht="20" customHeight="1"/>
    <row r="74" spans="33:39" ht="20" customHeight="1"/>
    <row r="75" spans="33:39" ht="20" customHeight="1"/>
    <row r="76" spans="33:39" ht="20" customHeight="1"/>
    <row r="77" spans="33:39" ht="20" customHeight="1"/>
    <row r="78" spans="33:39" ht="20" customHeight="1"/>
    <row r="79" spans="33:39" ht="20" customHeight="1"/>
    <row r="80" spans="33:39" ht="20" customHeight="1"/>
    <row r="81" ht="20" customHeight="1"/>
    <row r="82" ht="20" customHeight="1"/>
    <row r="83" ht="20" customHeight="1"/>
    <row r="84" ht="20" customHeight="1"/>
    <row r="85" ht="20" customHeight="1"/>
    <row r="86" ht="20" customHeight="1"/>
    <row r="87" ht="20" customHeight="1"/>
    <row r="88" ht="20" customHeight="1"/>
    <row r="89" ht="20" customHeight="1"/>
    <row r="90" ht="20" customHeight="1"/>
    <row r="91" ht="20" customHeight="1"/>
    <row r="92" ht="20" customHeight="1"/>
    <row r="93" ht="20" customHeight="1"/>
    <row r="94" ht="20" customHeight="1"/>
    <row r="95" ht="20" customHeight="1"/>
    <row r="96" ht="20" customHeight="1"/>
    <row r="97" ht="20" customHeight="1"/>
    <row r="98" ht="20" customHeight="1"/>
    <row r="99" ht="20" customHeight="1"/>
    <row r="100" ht="20" customHeight="1"/>
    <row r="101" ht="20" customHeight="1"/>
    <row r="102" ht="20" customHeight="1"/>
    <row r="103" ht="20" customHeight="1"/>
    <row r="104" ht="20" customHeight="1"/>
    <row r="105" ht="20" customHeight="1"/>
    <row r="106" ht="20" customHeight="1"/>
    <row r="107" ht="20" customHeight="1"/>
    <row r="108" ht="20" customHeight="1"/>
    <row r="109" ht="20" customHeight="1"/>
    <row r="110" ht="20" customHeight="1"/>
    <row r="111" ht="20" customHeight="1"/>
    <row r="112" ht="20" customHeight="1"/>
    <row r="113" ht="20" customHeight="1"/>
    <row r="114" ht="20" customHeight="1"/>
    <row r="115" ht="20" customHeight="1"/>
    <row r="116" ht="20" customHeight="1"/>
    <row r="117" ht="20" customHeight="1"/>
    <row r="118" ht="20" customHeight="1"/>
    <row r="119" ht="20" customHeight="1"/>
    <row r="120" ht="20" customHeight="1"/>
    <row r="121" ht="20" customHeight="1"/>
    <row r="122" ht="20" customHeight="1"/>
    <row r="123" ht="20" customHeight="1"/>
    <row r="124" ht="20" customHeight="1"/>
    <row r="125" ht="20" customHeight="1"/>
    <row r="126" ht="20" customHeight="1"/>
    <row r="127" ht="20" customHeight="1"/>
    <row r="128" ht="20" customHeight="1"/>
    <row r="129" ht="20" customHeight="1"/>
    <row r="130" ht="20" customHeight="1"/>
    <row r="131" ht="20" customHeight="1"/>
    <row r="132" ht="20" customHeight="1"/>
    <row r="133" ht="20" customHeight="1"/>
    <row r="134" ht="20" customHeight="1"/>
    <row r="135" ht="20" customHeight="1"/>
    <row r="136" ht="20" customHeight="1"/>
    <row r="137" ht="20" customHeight="1"/>
    <row r="138" ht="20" customHeight="1"/>
    <row r="139" ht="20" customHeight="1"/>
    <row r="140" ht="20" customHeight="1"/>
    <row r="141" ht="20" customHeight="1"/>
    <row r="142" ht="20" customHeight="1"/>
    <row r="143" ht="20" customHeight="1"/>
    <row r="144" ht="20" customHeight="1"/>
    <row r="145" ht="20" customHeight="1"/>
    <row r="146" ht="20" customHeight="1"/>
    <row r="147" ht="20" customHeight="1"/>
    <row r="148" ht="20" customHeight="1"/>
    <row r="149" ht="20" customHeight="1"/>
    <row r="150" ht="20" customHeight="1"/>
    <row r="151" ht="20" customHeight="1"/>
    <row r="152" ht="20" customHeight="1"/>
    <row r="153" ht="20" customHeight="1"/>
    <row r="154" ht="20" customHeight="1"/>
    <row r="155" ht="20" customHeight="1"/>
    <row r="156" ht="20" customHeight="1"/>
    <row r="157" ht="20" customHeight="1"/>
    <row r="158" ht="20" customHeight="1"/>
    <row r="159" ht="20" customHeight="1"/>
    <row r="160" ht="20" customHeight="1"/>
    <row r="161" ht="20" customHeight="1"/>
    <row r="162" ht="20" customHeight="1"/>
    <row r="163" ht="20" customHeight="1"/>
    <row r="164" ht="20" customHeight="1"/>
    <row r="165" ht="20" customHeight="1"/>
    <row r="166" ht="20" customHeight="1"/>
    <row r="167" ht="20" customHeight="1"/>
    <row r="168" ht="20" customHeight="1"/>
    <row r="169" ht="20" customHeight="1"/>
    <row r="170" ht="20" customHeight="1"/>
    <row r="171" ht="20" customHeight="1"/>
    <row r="172" ht="20" customHeight="1"/>
    <row r="173" ht="20" customHeight="1"/>
    <row r="174" ht="20" customHeight="1"/>
    <row r="175" ht="20" customHeight="1"/>
    <row r="176" ht="20" customHeight="1"/>
    <row r="177" ht="20" customHeight="1"/>
    <row r="178" ht="20" customHeight="1"/>
    <row r="179" ht="20" customHeight="1"/>
    <row r="180" ht="20" customHeight="1"/>
    <row r="181" ht="20" customHeight="1"/>
    <row r="182" ht="20" customHeight="1"/>
    <row r="183" ht="20" customHeight="1"/>
    <row r="184" ht="20" customHeight="1"/>
    <row r="185" ht="20" customHeight="1"/>
    <row r="186" ht="20" customHeight="1"/>
    <row r="187" ht="20" customHeight="1"/>
    <row r="188" ht="20" customHeight="1"/>
    <row r="189" ht="20" customHeight="1"/>
    <row r="190" ht="20" customHeight="1"/>
    <row r="191" ht="20" customHeight="1"/>
    <row r="192" ht="20" customHeight="1"/>
    <row r="193" ht="20" customHeight="1"/>
    <row r="194" ht="20" customHeight="1"/>
    <row r="195" ht="20" customHeight="1"/>
    <row r="196" ht="20" customHeight="1"/>
    <row r="197" ht="20" customHeight="1"/>
    <row r="198" ht="20" customHeight="1"/>
    <row r="199" ht="20" customHeight="1"/>
    <row r="200" ht="20" customHeight="1"/>
    <row r="201" ht="20" customHeight="1"/>
    <row r="202" ht="20" customHeight="1"/>
    <row r="203" ht="20" customHeight="1"/>
    <row r="204" ht="20" customHeight="1"/>
    <row r="205" ht="20" customHeight="1"/>
    <row r="206" ht="20" customHeight="1"/>
    <row r="207" ht="20" customHeight="1"/>
    <row r="208" ht="20" customHeight="1"/>
    <row r="209" ht="20" customHeight="1"/>
    <row r="210" ht="20" customHeight="1"/>
    <row r="211" ht="20" customHeight="1"/>
    <row r="212" ht="20" customHeight="1"/>
    <row r="213" ht="20" customHeight="1"/>
    <row r="214" ht="20" customHeight="1"/>
    <row r="215" ht="20" customHeight="1"/>
    <row r="216" ht="20" customHeight="1"/>
    <row r="217" ht="20" customHeight="1"/>
    <row r="218" ht="20" customHeight="1"/>
    <row r="219" ht="20" customHeight="1"/>
    <row r="220" ht="20" customHeight="1"/>
    <row r="221" ht="20" customHeight="1"/>
    <row r="222" ht="20" customHeight="1"/>
    <row r="223" ht="20" customHeight="1"/>
    <row r="224" ht="20" customHeight="1"/>
    <row r="225" ht="20" customHeight="1"/>
    <row r="226" ht="20" customHeight="1"/>
    <row r="227" ht="20" customHeight="1"/>
    <row r="228" ht="20" customHeight="1"/>
    <row r="229" ht="20" customHeight="1"/>
    <row r="230" ht="20" customHeight="1"/>
    <row r="231" ht="20" customHeight="1"/>
    <row r="232" ht="20" customHeight="1"/>
    <row r="233" ht="20" customHeight="1"/>
    <row r="234" ht="20" customHeight="1"/>
    <row r="235" ht="20" customHeight="1"/>
    <row r="236" ht="20" customHeight="1"/>
    <row r="237" ht="20" customHeight="1"/>
    <row r="238" ht="20" customHeight="1"/>
    <row r="239" ht="20" customHeight="1"/>
    <row r="240" ht="20" customHeight="1"/>
    <row r="241" ht="20" customHeight="1"/>
    <row r="242" ht="20" customHeight="1"/>
    <row r="243" ht="20" customHeight="1"/>
    <row r="244" ht="20" customHeight="1"/>
    <row r="245" ht="20" customHeight="1"/>
    <row r="246" ht="20" customHeight="1"/>
    <row r="247" ht="20" customHeight="1"/>
    <row r="248" ht="20" customHeight="1"/>
    <row r="249" ht="20" customHeight="1"/>
    <row r="250" ht="20" customHeight="1"/>
    <row r="251" ht="20" customHeight="1"/>
    <row r="252" ht="20" customHeight="1"/>
    <row r="253" ht="20" customHeight="1"/>
    <row r="254" ht="20" customHeight="1"/>
    <row r="255" ht="20" customHeight="1"/>
    <row r="256" ht="20" customHeight="1"/>
    <row r="257" ht="20" customHeight="1"/>
    <row r="258" ht="20" customHeight="1"/>
    <row r="259" ht="20" customHeight="1"/>
    <row r="260" ht="20" customHeight="1"/>
    <row r="261" ht="20" customHeight="1"/>
    <row r="262" ht="20" customHeight="1"/>
    <row r="263" ht="20" customHeight="1"/>
    <row r="264" ht="20" customHeight="1"/>
    <row r="265" ht="20" customHeight="1"/>
    <row r="266" ht="20" customHeight="1"/>
    <row r="267" ht="20" customHeight="1"/>
    <row r="268" ht="20" customHeight="1"/>
    <row r="269" ht="20" customHeight="1"/>
    <row r="270" ht="20" customHeight="1"/>
    <row r="271" ht="20" customHeight="1"/>
    <row r="272" ht="20" customHeight="1"/>
    <row r="273" ht="20" customHeight="1"/>
    <row r="274" ht="20" customHeight="1"/>
    <row r="275" ht="20" customHeight="1"/>
    <row r="276" ht="20" customHeight="1"/>
    <row r="277" ht="20" customHeight="1"/>
    <row r="278" ht="20" customHeight="1"/>
    <row r="279" ht="20" customHeight="1"/>
    <row r="280" ht="20" customHeight="1"/>
    <row r="281" ht="20" customHeight="1"/>
    <row r="282" ht="20" customHeight="1"/>
    <row r="283" ht="20" customHeight="1"/>
    <row r="284" ht="20" customHeight="1"/>
    <row r="285" ht="20" customHeight="1"/>
    <row r="286" ht="20" customHeight="1"/>
    <row r="287" ht="20" customHeight="1"/>
    <row r="288" ht="20" customHeight="1"/>
    <row r="289" ht="20" customHeight="1"/>
    <row r="290" ht="20" customHeight="1"/>
    <row r="291" ht="20" customHeight="1"/>
    <row r="292" ht="20" customHeight="1"/>
    <row r="293" ht="20" customHeight="1"/>
    <row r="294" ht="20" customHeight="1"/>
    <row r="295" ht="20" customHeight="1"/>
    <row r="296" ht="20" customHeight="1"/>
    <row r="297" ht="20" customHeight="1"/>
    <row r="298" ht="20" customHeight="1"/>
    <row r="299" ht="20" customHeight="1"/>
    <row r="300" ht="20" customHeight="1"/>
    <row r="301" ht="20" customHeight="1"/>
    <row r="302" ht="20" customHeight="1"/>
    <row r="303" ht="20" customHeight="1"/>
    <row r="304" ht="20" customHeight="1"/>
    <row r="305" ht="20" customHeight="1"/>
    <row r="306" ht="20" customHeight="1"/>
    <row r="307" ht="20" customHeight="1"/>
    <row r="308" ht="20" customHeight="1"/>
    <row r="309" ht="20" customHeight="1"/>
    <row r="310" ht="20" customHeight="1"/>
    <row r="311" ht="20" customHeight="1"/>
    <row r="312" ht="20" customHeight="1"/>
    <row r="313" ht="20" customHeight="1"/>
    <row r="314" ht="20" customHeight="1"/>
    <row r="315" ht="20" customHeight="1"/>
    <row r="316" ht="20" customHeight="1"/>
    <row r="317" ht="20" customHeight="1"/>
    <row r="318" ht="20" customHeight="1"/>
    <row r="319" ht="20" customHeight="1"/>
    <row r="320" ht="20" customHeight="1"/>
    <row r="321" ht="20" customHeight="1"/>
    <row r="322" ht="20" customHeight="1"/>
    <row r="323" ht="20" customHeight="1"/>
    <row r="324" ht="20" customHeight="1"/>
    <row r="325" ht="20" customHeight="1"/>
    <row r="326" ht="20" customHeight="1"/>
    <row r="327" ht="20" customHeight="1"/>
    <row r="328" ht="20" customHeight="1"/>
    <row r="329" ht="20" customHeight="1"/>
    <row r="330" ht="20" customHeight="1"/>
    <row r="331" ht="20" customHeight="1"/>
    <row r="332" ht="20" customHeight="1"/>
    <row r="333" ht="20" customHeight="1"/>
    <row r="334" ht="20" customHeight="1"/>
    <row r="335" ht="20" customHeight="1"/>
    <row r="336" ht="20" customHeight="1"/>
    <row r="337" ht="20" customHeight="1"/>
    <row r="338" ht="20" customHeight="1"/>
    <row r="339" ht="20" customHeight="1"/>
    <row r="340" ht="20" customHeight="1"/>
    <row r="341" ht="20" customHeight="1"/>
    <row r="342" ht="20" customHeight="1"/>
    <row r="343" ht="20" customHeight="1"/>
    <row r="344" ht="20" customHeight="1"/>
    <row r="345" ht="20" customHeight="1"/>
    <row r="346" ht="20" customHeight="1"/>
    <row r="347" ht="20" customHeight="1"/>
    <row r="348" ht="20" customHeight="1"/>
    <row r="349" ht="20" customHeight="1"/>
    <row r="350" ht="20" customHeight="1"/>
    <row r="351" ht="20" customHeight="1"/>
    <row r="352" ht="20" customHeight="1"/>
    <row r="353" ht="20" customHeight="1"/>
    <row r="354" ht="20" customHeight="1"/>
    <row r="355" ht="20" customHeight="1"/>
    <row r="356" ht="20" customHeight="1"/>
    <row r="357" ht="20" customHeight="1"/>
    <row r="358" ht="20" customHeight="1"/>
    <row r="359" ht="20" customHeight="1"/>
    <row r="360" ht="20" customHeight="1"/>
    <row r="361" ht="20" customHeight="1"/>
    <row r="362" ht="20" customHeight="1"/>
    <row r="363" ht="20" customHeight="1"/>
    <row r="364" ht="20" customHeight="1"/>
    <row r="365" ht="20" customHeight="1"/>
    <row r="366" ht="20" customHeight="1"/>
    <row r="367" ht="20" customHeight="1"/>
    <row r="368" ht="20" customHeight="1"/>
    <row r="369" ht="20" customHeight="1"/>
    <row r="370" ht="20" customHeight="1"/>
    <row r="371" ht="20" customHeight="1"/>
    <row r="372" ht="20" customHeight="1"/>
    <row r="373" ht="20" customHeight="1"/>
    <row r="374" ht="20" customHeight="1"/>
    <row r="375" ht="20" customHeight="1"/>
    <row r="376" ht="20" customHeight="1"/>
    <row r="377" ht="20" customHeight="1"/>
    <row r="378" ht="20" customHeight="1"/>
    <row r="379" ht="20" customHeight="1"/>
    <row r="380" ht="20" customHeight="1"/>
    <row r="381" ht="20" customHeight="1"/>
    <row r="382" ht="20" customHeight="1"/>
    <row r="383" ht="20" customHeight="1"/>
    <row r="384" ht="20" customHeight="1"/>
    <row r="385" ht="20" customHeight="1"/>
    <row r="386" ht="20" customHeight="1"/>
    <row r="387" ht="20" customHeight="1"/>
    <row r="388" ht="20" customHeight="1"/>
    <row r="389" ht="20" customHeight="1"/>
    <row r="390" ht="20" customHeight="1"/>
    <row r="391" ht="20" customHeight="1"/>
    <row r="392" ht="20" customHeight="1"/>
    <row r="393" ht="20" customHeight="1"/>
    <row r="394" ht="20" customHeight="1"/>
    <row r="395" ht="20" customHeight="1"/>
    <row r="396" ht="20" customHeight="1"/>
    <row r="397" ht="20" customHeight="1"/>
    <row r="398" ht="20" customHeight="1"/>
    <row r="399" ht="20" customHeight="1"/>
    <row r="400" ht="20" customHeight="1"/>
    <row r="401" ht="20" customHeight="1"/>
    <row r="402" ht="20" customHeight="1"/>
    <row r="403" ht="20" customHeight="1"/>
    <row r="404" ht="20" customHeight="1"/>
    <row r="405" ht="20" customHeight="1"/>
    <row r="406" ht="20" customHeight="1"/>
    <row r="407" ht="20" customHeight="1"/>
    <row r="408" ht="20" customHeight="1"/>
    <row r="409" ht="20" customHeight="1"/>
    <row r="410" ht="20" customHeight="1"/>
    <row r="411" ht="20" customHeight="1"/>
    <row r="412" ht="20" customHeight="1"/>
    <row r="413" ht="20" customHeight="1"/>
    <row r="414" ht="20" customHeight="1"/>
    <row r="415" ht="20" customHeight="1"/>
    <row r="416" ht="20" customHeight="1"/>
    <row r="417" ht="20" customHeight="1"/>
    <row r="418" ht="20" customHeight="1"/>
    <row r="419" ht="20" customHeight="1"/>
    <row r="420" ht="20" customHeight="1"/>
    <row r="421" ht="20" customHeight="1"/>
    <row r="422" ht="20" customHeight="1"/>
    <row r="423" ht="20" customHeight="1"/>
    <row r="424" ht="20" customHeight="1"/>
    <row r="425" ht="20" customHeight="1"/>
    <row r="426" ht="20" customHeight="1"/>
    <row r="427" ht="20" customHeight="1"/>
    <row r="428" ht="20" customHeight="1"/>
    <row r="429" ht="20" customHeight="1"/>
    <row r="430" ht="20" customHeight="1"/>
    <row r="431" ht="20" customHeight="1"/>
    <row r="432" ht="20" customHeight="1"/>
    <row r="433" ht="20" customHeight="1"/>
    <row r="434" ht="20" customHeight="1"/>
    <row r="435" ht="20" customHeight="1"/>
    <row r="436" ht="20" customHeight="1"/>
    <row r="437" ht="20" customHeight="1"/>
    <row r="438" ht="20" customHeight="1"/>
    <row r="439" ht="20" customHeight="1"/>
    <row r="440" ht="20" customHeight="1"/>
    <row r="441" ht="20" customHeight="1"/>
    <row r="442" ht="20" customHeight="1"/>
    <row r="443" ht="20" customHeight="1"/>
    <row r="444" ht="20" customHeight="1"/>
    <row r="445" ht="20" customHeight="1"/>
    <row r="446" ht="20" customHeight="1"/>
    <row r="447" ht="20" customHeight="1"/>
    <row r="448" ht="20" customHeight="1"/>
    <row r="449" ht="20" customHeight="1"/>
    <row r="450" ht="20" customHeight="1"/>
    <row r="451" ht="20" customHeight="1"/>
    <row r="452" ht="20" customHeight="1"/>
    <row r="453" ht="20" customHeight="1"/>
    <row r="454" ht="20" customHeight="1"/>
    <row r="455" ht="20" customHeight="1"/>
    <row r="456" ht="20" customHeight="1"/>
    <row r="457" ht="20" customHeight="1"/>
    <row r="458" ht="20" customHeight="1"/>
    <row r="459" ht="20" customHeight="1"/>
    <row r="460" ht="20" customHeight="1"/>
    <row r="461" ht="20" customHeight="1"/>
    <row r="462" ht="20" customHeight="1"/>
    <row r="463" ht="20" customHeight="1"/>
    <row r="464" ht="20" customHeight="1"/>
    <row r="465" ht="20" customHeight="1"/>
    <row r="466" ht="20" customHeight="1"/>
    <row r="467" ht="20" customHeight="1"/>
    <row r="468" ht="20" customHeight="1"/>
    <row r="469" ht="20" customHeight="1"/>
    <row r="470" ht="20" customHeight="1"/>
    <row r="471" ht="20" customHeight="1"/>
    <row r="472" ht="20" customHeight="1"/>
    <row r="473" ht="20" customHeight="1"/>
    <row r="474" ht="20" customHeight="1"/>
    <row r="475" ht="20" customHeight="1"/>
    <row r="476" ht="20" customHeight="1"/>
    <row r="477" ht="20" customHeight="1"/>
    <row r="478" ht="20" customHeight="1"/>
    <row r="479" ht="20" customHeight="1"/>
    <row r="480" ht="20" customHeight="1"/>
    <row r="481" ht="20" customHeight="1"/>
    <row r="482" ht="20" customHeight="1"/>
    <row r="483" ht="20" customHeight="1"/>
    <row r="484" ht="20" customHeight="1"/>
    <row r="485" ht="20" customHeight="1"/>
    <row r="486" ht="20" customHeight="1"/>
    <row r="487" ht="20" customHeight="1"/>
    <row r="488" ht="20" customHeight="1"/>
    <row r="489" ht="20" customHeight="1"/>
    <row r="490" ht="20" customHeight="1"/>
    <row r="491" ht="20" customHeight="1"/>
    <row r="492" ht="20" customHeight="1"/>
    <row r="493" ht="20" customHeight="1"/>
    <row r="494" ht="20" customHeight="1"/>
    <row r="495" ht="20" customHeight="1"/>
    <row r="496" ht="20" customHeight="1"/>
    <row r="497" ht="20" customHeight="1"/>
    <row r="498" ht="20" customHeight="1"/>
    <row r="499" ht="20" customHeight="1"/>
    <row r="500" ht="20" customHeight="1"/>
    <row r="501" ht="20" customHeight="1"/>
    <row r="502" ht="20" customHeight="1"/>
    <row r="503" ht="20" customHeight="1"/>
    <row r="504" ht="20" customHeight="1"/>
    <row r="505" ht="20" customHeight="1"/>
    <row r="506" ht="20" customHeight="1"/>
    <row r="507" ht="20" customHeight="1"/>
    <row r="508" ht="20" customHeight="1"/>
    <row r="509" ht="20" customHeight="1"/>
    <row r="510" ht="20" customHeight="1"/>
    <row r="511" ht="20" customHeight="1"/>
    <row r="512" ht="20" customHeight="1"/>
    <row r="513" ht="20" customHeight="1"/>
    <row r="514" ht="20" customHeight="1"/>
    <row r="515" ht="20" customHeight="1"/>
    <row r="516" ht="20" customHeight="1"/>
    <row r="517" ht="20" customHeight="1"/>
    <row r="518" ht="20" customHeight="1"/>
    <row r="519" ht="20" customHeight="1"/>
    <row r="520" ht="20" customHeight="1"/>
    <row r="521" ht="20" customHeight="1"/>
    <row r="522" ht="20" customHeight="1"/>
    <row r="523" ht="20" customHeight="1"/>
    <row r="524" ht="20" customHeight="1"/>
    <row r="525" ht="20" customHeight="1"/>
  </sheetData>
  <sheetProtection sheet="1" objects="1" scenarios="1"/>
  <mergeCells count="122">
    <mergeCell ref="AQ2:BE2"/>
    <mergeCell ref="BG2:BH2"/>
    <mergeCell ref="BJ2:BR2"/>
    <mergeCell ref="BT2:CH2"/>
    <mergeCell ref="L3:M3"/>
    <mergeCell ref="R3:S3"/>
    <mergeCell ref="D1:Q1"/>
    <mergeCell ref="D2:I2"/>
    <mergeCell ref="K2:Q2"/>
    <mergeCell ref="U2:AB2"/>
    <mergeCell ref="AD2:AE2"/>
    <mergeCell ref="AG2:AO2"/>
    <mergeCell ref="CE4:CH4"/>
    <mergeCell ref="E5:F5"/>
    <mergeCell ref="I5:I6"/>
    <mergeCell ref="J5:J6"/>
    <mergeCell ref="K5:K6"/>
    <mergeCell ref="L5:L6"/>
    <mergeCell ref="M5:M6"/>
    <mergeCell ref="N5:O5"/>
    <mergeCell ref="P5:P6"/>
    <mergeCell ref="Q5:Q6"/>
    <mergeCell ref="E4:F4"/>
    <mergeCell ref="AH4:AI4"/>
    <mergeCell ref="AV4:AY4"/>
    <mergeCell ref="BB4:BE4"/>
    <mergeCell ref="BK4:BL4"/>
    <mergeCell ref="BY4:CB4"/>
    <mergeCell ref="CC5:CC9"/>
    <mergeCell ref="CD5:CD9"/>
    <mergeCell ref="E6:F6"/>
    <mergeCell ref="E7:F7"/>
    <mergeCell ref="R7:S7"/>
    <mergeCell ref="E8:F8"/>
    <mergeCell ref="E9:F9"/>
    <mergeCell ref="AT5:AT9"/>
    <mergeCell ref="AU5:AU9"/>
    <mergeCell ref="AZ5:AZ9"/>
    <mergeCell ref="BA5:BA9"/>
    <mergeCell ref="BW5:BW9"/>
    <mergeCell ref="BX5:BX9"/>
    <mergeCell ref="BX10:BX14"/>
    <mergeCell ref="CC10:CC14"/>
    <mergeCell ref="CD10:CD14"/>
    <mergeCell ref="E11:F11"/>
    <mergeCell ref="R11:S11"/>
    <mergeCell ref="A13:B13"/>
    <mergeCell ref="E10:F10"/>
    <mergeCell ref="AT10:AT14"/>
    <mergeCell ref="AU10:AU14"/>
    <mergeCell ref="AZ10:AZ14"/>
    <mergeCell ref="BA10:BA14"/>
    <mergeCell ref="BW10:BW14"/>
    <mergeCell ref="CC16:CC20"/>
    <mergeCell ref="CD16:CD20"/>
    <mergeCell ref="D17:Q17"/>
    <mergeCell ref="R17:S17"/>
    <mergeCell ref="D19:F19"/>
    <mergeCell ref="R20:S20"/>
    <mergeCell ref="AT16:AT20"/>
    <mergeCell ref="AU16:AU20"/>
    <mergeCell ref="AZ16:AZ20"/>
    <mergeCell ref="BA16:BA20"/>
    <mergeCell ref="BW16:BW20"/>
    <mergeCell ref="BX16:BX20"/>
    <mergeCell ref="BX21:BX25"/>
    <mergeCell ref="CC21:CC25"/>
    <mergeCell ref="CD21:CD25"/>
    <mergeCell ref="F22:G26"/>
    <mergeCell ref="R24:S24"/>
    <mergeCell ref="AT26:AT30"/>
    <mergeCell ref="AU26:AU30"/>
    <mergeCell ref="AZ26:AZ30"/>
    <mergeCell ref="BA26:BA30"/>
    <mergeCell ref="BW26:BW30"/>
    <mergeCell ref="F21:G21"/>
    <mergeCell ref="AT21:AT25"/>
    <mergeCell ref="AU21:AU25"/>
    <mergeCell ref="AZ21:AZ25"/>
    <mergeCell ref="BA21:BA25"/>
    <mergeCell ref="BW21:BW25"/>
    <mergeCell ref="BX26:BX30"/>
    <mergeCell ref="CC26:CC30"/>
    <mergeCell ref="CD26:CD30"/>
    <mergeCell ref="F27:G31"/>
    <mergeCell ref="R28:S28"/>
    <mergeCell ref="AT31:AT35"/>
    <mergeCell ref="AU31:AU35"/>
    <mergeCell ref="AZ31:AZ35"/>
    <mergeCell ref="BA31:BA35"/>
    <mergeCell ref="BW31:BW35"/>
    <mergeCell ref="BX31:BX35"/>
    <mergeCell ref="CC31:CC35"/>
    <mergeCell ref="CD31:CD35"/>
    <mergeCell ref="F32:G36"/>
    <mergeCell ref="AT36:AT40"/>
    <mergeCell ref="AU36:AU40"/>
    <mergeCell ref="AZ36:AZ40"/>
    <mergeCell ref="BA36:BA40"/>
    <mergeCell ref="BW36:BW40"/>
    <mergeCell ref="BX36:BX40"/>
    <mergeCell ref="CC36:CC40"/>
    <mergeCell ref="CD36:CD40"/>
    <mergeCell ref="F37:G41"/>
    <mergeCell ref="AT41:AT45"/>
    <mergeCell ref="AU41:AU45"/>
    <mergeCell ref="AZ41:AZ45"/>
    <mergeCell ref="BA41:BA45"/>
    <mergeCell ref="BW41:BW45"/>
    <mergeCell ref="BX41:BX45"/>
    <mergeCell ref="CC41:CC45"/>
    <mergeCell ref="F47:G51"/>
    <mergeCell ref="CD41:CD45"/>
    <mergeCell ref="F42:G46"/>
    <mergeCell ref="AT46:AT50"/>
    <mergeCell ref="AU46:AU50"/>
    <mergeCell ref="AZ46:AZ50"/>
    <mergeCell ref="BA46:BA50"/>
    <mergeCell ref="BW46:BW50"/>
    <mergeCell ref="BX46:BX50"/>
    <mergeCell ref="CC46:CC50"/>
    <mergeCell ref="CD46:CD50"/>
  </mergeCells>
  <conditionalFormatting sqref="I11:J11">
    <cfRule type="expression" dxfId="225" priority="90">
      <formula>$N$3=5</formula>
    </cfRule>
  </conditionalFormatting>
  <conditionalFormatting sqref="K11:K12">
    <cfRule type="expression" dxfId="224" priority="89">
      <formula>$N$3=6</formula>
    </cfRule>
  </conditionalFormatting>
  <conditionalFormatting sqref="I11:J12">
    <cfRule type="expression" dxfId="223" priority="88">
      <formula>$N$3=6</formula>
    </cfRule>
  </conditionalFormatting>
  <conditionalFormatting sqref="K11">
    <cfRule type="expression" dxfId="222" priority="87">
      <formula>$N$3=5</formula>
    </cfRule>
  </conditionalFormatting>
  <conditionalFormatting sqref="F42:G46 K42:L46">
    <cfRule type="expression" dxfId="221" priority="84">
      <formula>$N$3=5</formula>
    </cfRule>
    <cfRule type="expression" dxfId="220" priority="85">
      <formula>$N$3=5</formula>
    </cfRule>
    <cfRule type="expression" dxfId="219" priority="86">
      <formula>$N$3=5</formula>
    </cfRule>
  </conditionalFormatting>
  <conditionalFormatting sqref="K42:L46">
    <cfRule type="expression" dxfId="218" priority="83">
      <formula>$N$3=5</formula>
    </cfRule>
  </conditionalFormatting>
  <conditionalFormatting sqref="F42:G51 K42:L51">
    <cfRule type="expression" dxfId="217" priority="81">
      <formula>$N$3=6</formula>
    </cfRule>
    <cfRule type="expression" dxfId="216" priority="82">
      <formula>$N$3=6</formula>
    </cfRule>
  </conditionalFormatting>
  <conditionalFormatting sqref="K42:L51">
    <cfRule type="expression" dxfId="215" priority="80">
      <formula>$N$3=6</formula>
    </cfRule>
  </conditionalFormatting>
  <conditionalFormatting sqref="F42:G46">
    <cfRule type="expression" dxfId="214" priority="79">
      <formula>$N$3=5</formula>
    </cfRule>
  </conditionalFormatting>
  <conditionalFormatting sqref="M22:M41">
    <cfRule type="expression" dxfId="213" priority="78">
      <formula>$H$19=2</formula>
    </cfRule>
  </conditionalFormatting>
  <conditionalFormatting sqref="M21">
    <cfRule type="expression" dxfId="212" priority="77">
      <formula>$H$19=2</formula>
    </cfRule>
  </conditionalFormatting>
  <conditionalFormatting sqref="M42:M51">
    <cfRule type="expression" dxfId="211" priority="75">
      <formula>$H$19=1</formula>
    </cfRule>
    <cfRule type="expression" dxfId="210" priority="76">
      <formula>$N$3=6</formula>
    </cfRule>
  </conditionalFormatting>
  <conditionalFormatting sqref="I22:J22 I26:I27 I31:I32 I36:I37 I41 J23:J51">
    <cfRule type="expression" dxfId="209" priority="74">
      <formula>$I$22=$N$7</formula>
    </cfRule>
  </conditionalFormatting>
  <conditionalFormatting sqref="H22">
    <cfRule type="expression" dxfId="208" priority="73">
      <formula>I22=N7</formula>
    </cfRule>
  </conditionalFormatting>
  <conditionalFormatting sqref="F42:I42 F46:I47 F43:H45 F51:I51 F48:H50 K42:L51">
    <cfRule type="expression" dxfId="207" priority="72">
      <formula>"J4=4"</formula>
    </cfRule>
  </conditionalFormatting>
  <conditionalFormatting sqref="H42:I42 H46:I47 H43:H45 H51:I51 H48:H50">
    <cfRule type="expression" dxfId="206" priority="71">
      <formula>$N$3=4</formula>
    </cfRule>
  </conditionalFormatting>
  <conditionalFormatting sqref="H47:H51">
    <cfRule type="expression" dxfId="205" priority="70">
      <formula>$N$3=5</formula>
    </cfRule>
  </conditionalFormatting>
  <conditionalFormatting sqref="I13:J13">
    <cfRule type="expression" priority="69">
      <formula>$E$48</formula>
    </cfRule>
  </conditionalFormatting>
  <conditionalFormatting sqref="I42">
    <cfRule type="expression" dxfId="204" priority="66">
      <formula>N3=6</formula>
    </cfRule>
    <cfRule type="expression" dxfId="203" priority="67">
      <formula>N3=5</formula>
    </cfRule>
    <cfRule type="expression" dxfId="202" priority="68">
      <formula>L3=4</formula>
    </cfRule>
  </conditionalFormatting>
  <conditionalFormatting sqref="I46">
    <cfRule type="expression" dxfId="201" priority="64">
      <formula>N3=6</formula>
    </cfRule>
    <cfRule type="expression" dxfId="200" priority="65">
      <formula>N3=5</formula>
    </cfRule>
  </conditionalFormatting>
  <conditionalFormatting sqref="I47">
    <cfRule type="expression" dxfId="199" priority="63">
      <formula>N3=6</formula>
    </cfRule>
  </conditionalFormatting>
  <conditionalFormatting sqref="I51">
    <cfRule type="expression" dxfId="198" priority="62">
      <formula>N3=6</formula>
    </cfRule>
  </conditionalFormatting>
  <conditionalFormatting sqref="M42:M46">
    <cfRule type="expression" dxfId="197" priority="60">
      <formula>$N$3=5</formula>
    </cfRule>
    <cfRule type="expression" dxfId="196" priority="61">
      <formula>$G$8=5</formula>
    </cfRule>
  </conditionalFormatting>
  <conditionalFormatting sqref="H23:H25">
    <cfRule type="expression" dxfId="195" priority="59">
      <formula>I23=M7</formula>
    </cfRule>
  </conditionalFormatting>
  <conditionalFormatting sqref="H24">
    <cfRule type="expression" dxfId="194" priority="58">
      <formula>I24=M7</formula>
    </cfRule>
  </conditionalFormatting>
  <conditionalFormatting sqref="H25">
    <cfRule type="expression" dxfId="193" priority="57">
      <formula>I25=M7</formula>
    </cfRule>
  </conditionalFormatting>
  <conditionalFormatting sqref="H29">
    <cfRule type="expression" dxfId="192" priority="56">
      <formula>I29=M8</formula>
    </cfRule>
  </conditionalFormatting>
  <conditionalFormatting sqref="H30">
    <cfRule type="expression" dxfId="191" priority="55">
      <formula>I30=M8</formula>
    </cfRule>
  </conditionalFormatting>
  <conditionalFormatting sqref="H28:H30">
    <cfRule type="expression" dxfId="190" priority="54">
      <formula>I28=M8</formula>
    </cfRule>
  </conditionalFormatting>
  <conditionalFormatting sqref="H34">
    <cfRule type="expression" dxfId="189" priority="53">
      <formula>I34=M9</formula>
    </cfRule>
  </conditionalFormatting>
  <conditionalFormatting sqref="H35">
    <cfRule type="expression" dxfId="188" priority="52">
      <formula>I35=M9</formula>
    </cfRule>
  </conditionalFormatting>
  <conditionalFormatting sqref="H33:H35">
    <cfRule type="expression" dxfId="187" priority="51">
      <formula>I33=M9</formula>
    </cfRule>
  </conditionalFormatting>
  <conditionalFormatting sqref="H39">
    <cfRule type="expression" dxfId="186" priority="50">
      <formula>I39=M10</formula>
    </cfRule>
  </conditionalFormatting>
  <conditionalFormatting sqref="H40">
    <cfRule type="expression" dxfId="185" priority="49">
      <formula>I40=M10</formula>
    </cfRule>
  </conditionalFormatting>
  <conditionalFormatting sqref="H38:H40">
    <cfRule type="expression" dxfId="184" priority="48">
      <formula>I38=M10</formula>
    </cfRule>
  </conditionalFormatting>
  <conditionalFormatting sqref="H44">
    <cfRule type="expression" dxfId="183" priority="47">
      <formula>I44=M11</formula>
    </cfRule>
    <cfRule type="expression" dxfId="182" priority="3">
      <formula>$N$3=4</formula>
    </cfRule>
  </conditionalFormatting>
  <conditionalFormatting sqref="H45">
    <cfRule type="expression" dxfId="181" priority="46">
      <formula>I45=M11</formula>
    </cfRule>
  </conditionalFormatting>
  <conditionalFormatting sqref="H43:H45">
    <cfRule type="expression" dxfId="180" priority="45">
      <formula>I43=M11</formula>
    </cfRule>
  </conditionalFormatting>
  <conditionalFormatting sqref="H49">
    <cfRule type="expression" dxfId="179" priority="44">
      <formula>I49=M12</formula>
    </cfRule>
  </conditionalFormatting>
  <conditionalFormatting sqref="H50">
    <cfRule type="expression" dxfId="178" priority="43">
      <formula>I50=M12</formula>
    </cfRule>
    <cfRule type="expression" dxfId="177" priority="2">
      <formula>$N$3=4</formula>
    </cfRule>
    <cfRule type="expression" dxfId="176" priority="1">
      <formula>$N$3=5</formula>
    </cfRule>
  </conditionalFormatting>
  <conditionalFormatting sqref="H48:H50">
    <cfRule type="expression" dxfId="175" priority="42">
      <formula>I48=M12</formula>
    </cfRule>
  </conditionalFormatting>
  <conditionalFormatting sqref="I44">
    <cfRule type="expression" dxfId="174" priority="41">
      <formula>$N$3=4</formula>
    </cfRule>
  </conditionalFormatting>
  <conditionalFormatting sqref="I49">
    <cfRule type="expression" dxfId="173" priority="39">
      <formula>$N$3=5</formula>
    </cfRule>
    <cfRule type="expression" dxfId="172" priority="40">
      <formula>$N$3=4</formula>
    </cfRule>
  </conditionalFormatting>
  <conditionalFormatting sqref="I43">
    <cfRule type="expression" dxfId="171" priority="38">
      <formula>$N$3=4</formula>
    </cfRule>
  </conditionalFormatting>
  <conditionalFormatting sqref="I45">
    <cfRule type="expression" dxfId="170" priority="37">
      <formula>$N$3=4</formula>
    </cfRule>
  </conditionalFormatting>
  <conditionalFormatting sqref="I48">
    <cfRule type="expression" dxfId="169" priority="35">
      <formula>$N$3=5</formula>
    </cfRule>
    <cfRule type="expression" dxfId="168" priority="36">
      <formula>$N$3=4</formula>
    </cfRule>
  </conditionalFormatting>
  <conditionalFormatting sqref="I50">
    <cfRule type="expression" dxfId="167" priority="33">
      <formula>$N$3=5</formula>
    </cfRule>
    <cfRule type="expression" dxfId="166" priority="34">
      <formula>$N$3=4</formula>
    </cfRule>
  </conditionalFormatting>
  <conditionalFormatting sqref="P11:Q11">
    <cfRule type="expression" dxfId="165" priority="30">
      <formula>$H$15=1</formula>
    </cfRule>
    <cfRule type="expression" dxfId="164" priority="31">
      <formula>$N$3=6</formula>
    </cfRule>
    <cfRule type="expression" dxfId="163" priority="32">
      <formula>$N$3=5</formula>
    </cfRule>
  </conditionalFormatting>
  <conditionalFormatting sqref="P12:Q12">
    <cfRule type="expression" dxfId="162" priority="28">
      <formula>$H$15=1</formula>
    </cfRule>
    <cfRule type="expression" dxfId="161" priority="29">
      <formula>$N$3=6</formula>
    </cfRule>
  </conditionalFormatting>
  <conditionalFormatting sqref="J42:J51">
    <cfRule type="expression" dxfId="160" priority="27">
      <formula>$N$3=4</formula>
    </cfRule>
  </conditionalFormatting>
  <conditionalFormatting sqref="J47:J51">
    <cfRule type="expression" dxfId="159" priority="26">
      <formula>$N$3=5</formula>
    </cfRule>
  </conditionalFormatting>
  <conditionalFormatting sqref="L21:L51">
    <cfRule type="expression" dxfId="158" priority="25">
      <formula>$H$13=1</formula>
    </cfRule>
  </conditionalFormatting>
  <conditionalFormatting sqref="L21">
    <cfRule type="expression" dxfId="157" priority="24">
      <formula>$H$13=1</formula>
    </cfRule>
  </conditionalFormatting>
  <conditionalFormatting sqref="P5:Q10">
    <cfRule type="expression" dxfId="156" priority="23">
      <formula>$H$15=2</formula>
    </cfRule>
  </conditionalFormatting>
  <conditionalFormatting sqref="P7:Q10">
    <cfRule type="expression" dxfId="155" priority="22">
      <formula>$H$15=2</formula>
    </cfRule>
  </conditionalFormatting>
  <conditionalFormatting sqref="P11:Q12">
    <cfRule type="expression" dxfId="154" priority="20">
      <formula>$H$15=1</formula>
    </cfRule>
    <cfRule type="expression" dxfId="153" priority="21">
      <formula>$H$15=1</formula>
    </cfRule>
  </conditionalFormatting>
  <conditionalFormatting sqref="L11:O11">
    <cfRule type="expression" dxfId="152" priority="19">
      <formula>$N$3=5</formula>
    </cfRule>
  </conditionalFormatting>
  <conditionalFormatting sqref="L11:O12">
    <cfRule type="expression" dxfId="151" priority="18">
      <formula>$N$3=6</formula>
    </cfRule>
  </conditionalFormatting>
  <conditionalFormatting sqref="N12">
    <cfRule type="expression" dxfId="150" priority="16">
      <formula>$N$3=4</formula>
    </cfRule>
    <cfRule type="expression" dxfId="149" priority="17">
      <formula>$N$3=5</formula>
    </cfRule>
  </conditionalFormatting>
  <conditionalFormatting sqref="N11">
    <cfRule type="expression" dxfId="148" priority="15">
      <formula>$N$3=4</formula>
    </cfRule>
  </conditionalFormatting>
  <conditionalFormatting sqref="M42">
    <cfRule type="expression" dxfId="147" priority="14">
      <formula>$H$19=2</formula>
    </cfRule>
  </conditionalFormatting>
  <conditionalFormatting sqref="M43">
    <cfRule type="expression" dxfId="146" priority="13">
      <formula>$H$19=2</formula>
    </cfRule>
  </conditionalFormatting>
  <conditionalFormatting sqref="M44">
    <cfRule type="expression" dxfId="145" priority="12">
      <formula>$H$19=2</formula>
    </cfRule>
  </conditionalFormatting>
  <conditionalFormatting sqref="M45">
    <cfRule type="expression" dxfId="144" priority="11">
      <formula>$H$19=2</formula>
    </cfRule>
  </conditionalFormatting>
  <conditionalFormatting sqref="M46">
    <cfRule type="expression" dxfId="143" priority="10">
      <formula>$H$19=2</formula>
    </cfRule>
  </conditionalFormatting>
  <conditionalFormatting sqref="M47">
    <cfRule type="expression" dxfId="142" priority="9">
      <formula>$H$19=2</formula>
    </cfRule>
  </conditionalFormatting>
  <conditionalFormatting sqref="M48">
    <cfRule type="expression" dxfId="141" priority="8">
      <formula>$H$19=2</formula>
    </cfRule>
  </conditionalFormatting>
  <conditionalFormatting sqref="M48">
    <cfRule type="expression" dxfId="140" priority="7">
      <formula>$H$19=2</formula>
    </cfRule>
  </conditionalFormatting>
  <conditionalFormatting sqref="M49">
    <cfRule type="expression" dxfId="139" priority="6">
      <formula>$H$19=2</formula>
    </cfRule>
  </conditionalFormatting>
  <conditionalFormatting sqref="M50">
    <cfRule type="expression" dxfId="138" priority="5">
      <formula>$H$19=2</formula>
    </cfRule>
  </conditionalFormatting>
  <conditionalFormatting sqref="M51">
    <cfRule type="expression" dxfId="137" priority="4">
      <formula>$H$19=2</formula>
    </cfRule>
  </conditionalFormatting>
  <dataValidations count="7">
    <dataValidation type="list" allowBlank="1" showInputMessage="1" showErrorMessage="1" sqref="G14">
      <formula1>$R$25:$R$26</formula1>
    </dataValidation>
    <dataValidation errorStyle="warning" allowBlank="1" showInputMessage="1" showErrorMessage="1" errorTitle="Min and Max energy level warning" error="Please ensure your MIN and MAX NE (Kcal/lb) is correct. " sqref="P7:Q12"/>
    <dataValidation type="list" allowBlank="1" showInputMessage="1" showErrorMessage="1" sqref="G15">
      <formula1>$R$12:$R$13</formula1>
    </dataValidation>
    <dataValidation type="decimal" errorStyle="warning" allowBlank="1" showInputMessage="1" showErrorMessage="1" errorTitle="Out of range" error="Review NDF level" sqref="L32:L51">
      <formula1>6</formula1>
      <formula2>30</formula2>
    </dataValidation>
    <dataValidation type="list" allowBlank="1" showInputMessage="1" showErrorMessage="1" sqref="G13">
      <formula1>$R$21:$R$22</formula1>
    </dataValidation>
    <dataValidation type="list" allowBlank="1" showInputMessage="1" showErrorMessage="1" sqref="N3">
      <formula1>$S$8:$S$10</formula1>
    </dataValidation>
    <dataValidation type="list" allowBlank="1" showInputMessage="1" showErrorMessage="1" sqref="G19">
      <formula1>$R$4:$R$5</formula1>
    </dataValidation>
  </dataValidations>
  <pageMargins left="0.7" right="0.7" top="0.75" bottom="0.75" header="0.3" footer="0.3"/>
  <pageSetup scale="35" orientation="portrait"/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enableFormatConditionsCalculation="0"/>
  <dimension ref="A1:M67"/>
  <sheetViews>
    <sheetView showGridLines="0" zoomScale="70" zoomScaleNormal="70" zoomScaleSheetLayoutView="80" zoomScalePageLayoutView="70" workbookViewId="0">
      <selection activeCell="J23" sqref="J23"/>
    </sheetView>
  </sheetViews>
  <sheetFormatPr baseColWidth="10" defaultColWidth="7.33203125" defaultRowHeight="16" x14ac:dyDescent="0"/>
  <cols>
    <col min="1" max="1" width="84.6640625" customWidth="1"/>
    <col min="2" max="7" width="12.6640625" customWidth="1"/>
    <col min="8" max="8" width="3.5" customWidth="1"/>
    <col min="9" max="9" width="37.83203125" customWidth="1"/>
    <col min="10" max="10" width="9.6640625" bestFit="1" customWidth="1"/>
    <col min="11" max="12" width="7.33203125" style="61" hidden="1" customWidth="1"/>
    <col min="13" max="13" width="7.33203125" style="125" hidden="1" customWidth="1"/>
  </cols>
  <sheetData>
    <row r="1" spans="1:13" ht="40.25" customHeight="1" thickBot="1">
      <c r="A1" s="434" t="s">
        <v>301</v>
      </c>
      <c r="B1" s="435"/>
      <c r="C1" s="435"/>
      <c r="D1" s="435"/>
      <c r="E1" s="435"/>
      <c r="F1" s="435"/>
      <c r="G1" s="435"/>
      <c r="H1" s="435"/>
      <c r="I1" s="435"/>
      <c r="J1" s="435"/>
      <c r="K1" s="307"/>
      <c r="L1" s="307"/>
      <c r="M1" s="307"/>
    </row>
    <row r="2" spans="1:13" ht="20" customHeight="1" thickTop="1">
      <c r="A2" s="429" t="s">
        <v>3</v>
      </c>
      <c r="B2" s="429" t="s">
        <v>8</v>
      </c>
      <c r="C2" s="429"/>
      <c r="D2" s="429"/>
      <c r="E2" s="429"/>
      <c r="F2" s="429"/>
      <c r="G2" s="429"/>
      <c r="H2" s="272"/>
      <c r="I2" s="431" t="s">
        <v>3</v>
      </c>
      <c r="J2" s="431" t="s">
        <v>122</v>
      </c>
      <c r="K2" s="202"/>
      <c r="L2" s="202"/>
      <c r="M2" s="202"/>
    </row>
    <row r="3" spans="1:13" ht="20" customHeight="1">
      <c r="A3" s="430"/>
      <c r="B3" s="430"/>
      <c r="C3" s="430"/>
      <c r="D3" s="430"/>
      <c r="E3" s="430"/>
      <c r="F3" s="430"/>
      <c r="G3" s="430"/>
      <c r="H3" s="273"/>
      <c r="I3" s="432"/>
      <c r="J3" s="433"/>
      <c r="K3" s="146"/>
      <c r="L3" s="146"/>
      <c r="M3" s="147"/>
    </row>
    <row r="4" spans="1:13" ht="20" customHeight="1">
      <c r="A4" s="274"/>
      <c r="B4" s="333">
        <v>1</v>
      </c>
      <c r="C4" s="333">
        <v>2</v>
      </c>
      <c r="D4" s="333">
        <v>3</v>
      </c>
      <c r="E4" s="333">
        <v>4</v>
      </c>
      <c r="F4" s="146">
        <v>5</v>
      </c>
      <c r="G4" s="146">
        <v>6</v>
      </c>
      <c r="H4" s="271"/>
      <c r="I4" s="271"/>
      <c r="J4" s="271"/>
      <c r="K4" s="148" t="s">
        <v>92</v>
      </c>
      <c r="L4" s="148" t="s">
        <v>93</v>
      </c>
      <c r="M4" s="148" t="s">
        <v>94</v>
      </c>
    </row>
    <row r="5" spans="1:13" ht="20" hidden="1" customHeight="1">
      <c r="A5" s="178" t="s">
        <v>154</v>
      </c>
      <c r="B5" s="163">
        <f>Inputs!$K$7</f>
        <v>0</v>
      </c>
      <c r="C5" s="163">
        <f>Inputs!$K$8</f>
        <v>0</v>
      </c>
      <c r="D5" s="163">
        <f>Inputs!$K$9</f>
        <v>0</v>
      </c>
      <c r="E5" s="163">
        <f>Inputs!$K$10</f>
        <v>0</v>
      </c>
      <c r="F5" s="260">
        <f>Inputs!$K$11</f>
        <v>0</v>
      </c>
      <c r="G5" s="260">
        <f>Inputs!$K$12</f>
        <v>0</v>
      </c>
      <c r="H5" s="107"/>
    </row>
    <row r="6" spans="1:13" ht="20" hidden="1" customHeight="1">
      <c r="A6" s="178" t="s">
        <v>155</v>
      </c>
      <c r="B6" s="164">
        <f>Inputs!L7</f>
        <v>0</v>
      </c>
      <c r="C6" s="164">
        <f>Inputs!L8</f>
        <v>0</v>
      </c>
      <c r="D6" s="164">
        <f>Inputs!L9</f>
        <v>0</v>
      </c>
      <c r="E6" s="164">
        <f>Inputs!L10</f>
        <v>0</v>
      </c>
      <c r="F6" s="165">
        <f>Inputs!L11</f>
        <v>0</v>
      </c>
      <c r="G6" s="165">
        <f>Inputs!L12</f>
        <v>0</v>
      </c>
      <c r="H6" s="108"/>
    </row>
    <row r="7" spans="1:13" ht="20" customHeight="1">
      <c r="A7" s="178" t="s">
        <v>283</v>
      </c>
      <c r="B7" s="163">
        <f>B6/2.2046</f>
        <v>0</v>
      </c>
      <c r="C7" s="163">
        <f t="shared" ref="C7" si="0">C6/2.2046</f>
        <v>0</v>
      </c>
      <c r="D7" s="163">
        <f t="shared" ref="D7" si="1">D6/2.2046</f>
        <v>0</v>
      </c>
      <c r="E7" s="163">
        <f t="shared" ref="E7" si="2">E6/2.2046</f>
        <v>0</v>
      </c>
      <c r="F7" s="260">
        <f t="shared" ref="F7" si="3">F6/2.2046</f>
        <v>0</v>
      </c>
      <c r="G7" s="260">
        <f t="shared" ref="G7" si="4">G6/2.2046</f>
        <v>0</v>
      </c>
      <c r="H7" s="107"/>
      <c r="I7" s="373" t="s">
        <v>282</v>
      </c>
      <c r="J7" s="122" t="e">
        <f>IF(Inputs!$N$3=6,M7,IF(Inputs!$N$3=5,L7,IF(Inputs!$N$3=4,K7,"")))</f>
        <v>#DIV/0!</v>
      </c>
      <c r="K7" s="149" t="e">
        <f>(SUMPRODUCT(B20:E20,B26:E26)/SUM(B26:E26))*2.2046/1000</f>
        <v>#DIV/0!</v>
      </c>
      <c r="L7" s="149" t="e">
        <f>(SUMPRODUCT(B20:F20,B26:F26)/SUM(B26:F26))*2.2046/1000</f>
        <v>#DIV/0!</v>
      </c>
      <c r="M7" s="149" t="e">
        <f>(SUMPRODUCT(B20:G20,B26:G26)/SUM(B26:G26))/1000</f>
        <v>#DIV/0!</v>
      </c>
    </row>
    <row r="8" spans="1:13" ht="17">
      <c r="A8" s="178" t="s">
        <v>284</v>
      </c>
      <c r="B8" s="163">
        <f t="shared" ref="B8:G8" si="5">B6/2.2046</f>
        <v>0</v>
      </c>
      <c r="C8" s="163">
        <f t="shared" si="5"/>
        <v>0</v>
      </c>
      <c r="D8" s="163">
        <f t="shared" si="5"/>
        <v>0</v>
      </c>
      <c r="E8" s="163">
        <f t="shared" si="5"/>
        <v>0</v>
      </c>
      <c r="F8" s="260">
        <f t="shared" si="5"/>
        <v>0</v>
      </c>
      <c r="G8" s="260">
        <f t="shared" si="5"/>
        <v>0</v>
      </c>
      <c r="H8" s="108"/>
      <c r="I8" s="338" t="s">
        <v>16</v>
      </c>
      <c r="J8" s="122" t="e">
        <f>IF(Inputs!$N$3=6,M8,IF(Inputs!$N$3=5,L8,IF(Inputs!$N$3=4,K8,"")))</f>
        <v>#DIV/0!</v>
      </c>
      <c r="K8" s="149" t="e">
        <f>SUM($B$30:$E$30)/SUM($B$28:$E$28)</f>
        <v>#DIV/0!</v>
      </c>
      <c r="L8" s="149" t="e">
        <f>SUM($B$30:$F$30)/SUM($B$28:$F$28)</f>
        <v>#DIV/0!</v>
      </c>
      <c r="M8" s="149" t="e">
        <f>SUM($B$30:$G$30)/SUM($B$28:$G$28)</f>
        <v>#DIV/0!</v>
      </c>
    </row>
    <row r="9" spans="1:13" ht="17" hidden="1">
      <c r="A9" s="178" t="s">
        <v>156</v>
      </c>
      <c r="B9" s="166">
        <v>1083</v>
      </c>
      <c r="C9" s="166">
        <v>1097</v>
      </c>
      <c r="D9" s="166">
        <v>1110</v>
      </c>
      <c r="E9" s="166">
        <v>1119</v>
      </c>
      <c r="F9" s="261">
        <v>1126</v>
      </c>
      <c r="G9" s="261">
        <v>1159</v>
      </c>
      <c r="H9" s="110"/>
    </row>
    <row r="10" spans="1:13" ht="17">
      <c r="A10" s="178" t="s">
        <v>285</v>
      </c>
      <c r="B10" s="166">
        <f>B9*2.2046</f>
        <v>2387.5817999999999</v>
      </c>
      <c r="C10" s="166">
        <f t="shared" ref="C10:G10" si="6">C9*2.2046</f>
        <v>2418.4462000000003</v>
      </c>
      <c r="D10" s="166">
        <f t="shared" si="6"/>
        <v>2447.1060000000002</v>
      </c>
      <c r="E10" s="166">
        <f t="shared" si="6"/>
        <v>2466.9474</v>
      </c>
      <c r="F10" s="261">
        <f t="shared" si="6"/>
        <v>2482.3796000000002</v>
      </c>
      <c r="G10" s="261">
        <f t="shared" si="6"/>
        <v>2555.1314000000002</v>
      </c>
      <c r="H10" s="110"/>
      <c r="I10" s="373" t="s">
        <v>281</v>
      </c>
      <c r="J10" s="122" t="e">
        <f>IF(Inputs!$N$3=6,M10,IF(Inputs!$N$3=5,L10,IF(Inputs!$N$3=4,K10,"")))</f>
        <v>#DIV/0!</v>
      </c>
      <c r="K10" s="150" t="e">
        <f>K7*K8</f>
        <v>#DIV/0!</v>
      </c>
      <c r="L10" s="150" t="e">
        <f>L7*L8</f>
        <v>#DIV/0!</v>
      </c>
      <c r="M10" s="150" t="e">
        <f>M7*M8</f>
        <v>#DIV/0!</v>
      </c>
    </row>
    <row r="11" spans="1:13" ht="20" customHeight="1">
      <c r="A11" s="178" t="s">
        <v>288</v>
      </c>
      <c r="B11" s="180">
        <f>(IF(B9&gt;=Inputs!$X$9,Inputs!$Z$9*B9+Inputs!$AA$9,IF(B9&gt;=Inputs!$X$8,Inputs!$Z$8*B9+Inputs!$AA$8,IF(B9&gt;=Inputs!$X$7,Inputs!$Z$7*B9+Inputs!$AA$7,IF(Fixed_Weight!B9&gt;=Inputs!$X$6,Inputs!$Z$6*B9+Inputs!$AA$6,IF(B9&gt;=Inputs!$X$5,Inputs!$Z$5*B9+Inputs!$AA$5,0))))))/0.907</f>
        <v>0</v>
      </c>
      <c r="C11" s="180">
        <f>IF(C9&gt;=Inputs!$X$14,Inputs!$Z$14*Fixed_Weight!C9+Inputs!$AA$14,IF(Fixed_Weight!C9&gt;=Inputs!$X$13,Inputs!$Z$13*Fixed_Weight!C9+Inputs!$AA$13,IF(Fixed_Weight!C9&gt;=Inputs!$X$12,Inputs!$Z$12*Fixed_Weight!C9+Inputs!$AA$12,IF(Fixed_Weight!C9&gt;=Inputs!$X$11,Inputs!$Z$11*Fixed_Weight!C9+Inputs!$AA$11,IF(Fixed_Weight!C9&gt;=Inputs!$X$10,Inputs!$Z$10*Fixed_Weight!C9+Inputs!$AA$10,0)))))/0.907</f>
        <v>0</v>
      </c>
      <c r="D11" s="180">
        <f>IF(D9&gt;=Inputs!$X$20,Inputs!$Z$20*Fixed_Weight!D9+Inputs!$AA$20,IF(Fixed_Weight!D9&gt;=Inputs!$X$19,Inputs!$Z$19*Fixed_Weight!D9+Inputs!$AA$19,IF(Fixed_Weight!D9&gt;=Inputs!$X$18,Inputs!$Z$18*Fixed_Weight!D9+Inputs!$AA$18,IF(Fixed_Weight!D9&gt;=Inputs!$X$17,Inputs!$Z$17*Fixed_Weight!D9+Inputs!$AA$17,IF(Fixed_Weight!D9&gt;=Inputs!$X$16,Inputs!$Z$16*Fixed_Weight!D9+Inputs!$AA$16,0)))))/0.907</f>
        <v>0</v>
      </c>
      <c r="E11" s="180">
        <f>IF(E9&gt;=Inputs!$X$25,Inputs!$Z$25*Fixed_Weight!E9+Inputs!$AA$25,IF(Fixed_Weight!E9&gt;=Inputs!$X$24,Inputs!$Z$24*Fixed_Weight!E9+Inputs!$AA$24,IF(Fixed_Weight!E9&gt;=Inputs!$X$23,Inputs!$Z$23*Fixed_Weight!E9+Inputs!$AA$23,IF(Fixed_Weight!E9&gt;=Inputs!$X$22,Inputs!$Z$22*Fixed_Weight!E9+Inputs!$AA$22,IF(Fixed_Weight!E9&gt;=Inputs!$X$21,Inputs!$Z$21*Fixed_Weight!E9+Inputs!$AA$21,0)))))/0.907</f>
        <v>0</v>
      </c>
      <c r="F11" s="167">
        <f>IF(F9&gt;=Inputs!$X$30,Inputs!$Z$30*Fixed_Weight!F9+Inputs!$AA$30,IF(Fixed_Weight!F9&gt;=Inputs!$X$29,Inputs!$Z$29*Fixed_Weight!F9+Inputs!$AA$29,IF(Fixed_Weight!F9&gt;=Inputs!$X$28,Inputs!$Z$28*Fixed_Weight!F9+Inputs!$AA$28,IF(Fixed_Weight!F9&gt;=Inputs!$X$27,Inputs!$Z$27*Fixed_Weight!F9+Inputs!$AA$27,IF(Fixed_Weight!F9&gt;=Inputs!$X$26,Inputs!$Z$26*Fixed_Weight!F9+Inputs!$AA$26,0)))))/0.907</f>
        <v>0</v>
      </c>
      <c r="G11" s="167">
        <f>IF(G9&gt;=Inputs!$X$35,Inputs!$Z$35*Fixed_Weight!G9+Inputs!$AA$35,IF(Fixed_Weight!G9&gt;=Inputs!$X$34,Inputs!$Z$34*Fixed_Weight!G9+Inputs!$AA$34,IF(Fixed_Weight!G9&gt;=Inputs!$X$33,Inputs!$Z$33*Fixed_Weight!G9+Inputs!$AA$33,IF(Fixed_Weight!G9&gt;=Inputs!$X$32,Inputs!$Z$32*Fixed_Weight!G9+Inputs!$AA$32,IF(Fixed_Weight!G9&gt;=Inputs!$X$31,Inputs!$Z$31*Fixed_Weight!G9+Inputs!$AA$31,0)))))/0.907</f>
        <v>0</v>
      </c>
      <c r="H11" s="108"/>
      <c r="I11" s="338" t="s">
        <v>38</v>
      </c>
      <c r="J11" s="126">
        <f>IF(Inputs!$N$3=6,M11,IF(Inputs!$N$3=5,L11,IF(Inputs!$N$3=4,K11,"")))</f>
        <v>0</v>
      </c>
      <c r="K11" s="149">
        <f>SUM(B26:E26)</f>
        <v>0</v>
      </c>
      <c r="L11" s="149">
        <f>SUM(B26:F26)</f>
        <v>0</v>
      </c>
      <c r="M11" s="149">
        <f>SUM(B26:G26)</f>
        <v>0</v>
      </c>
    </row>
    <row r="12" spans="1:13" ht="20" customHeight="1">
      <c r="A12" s="178" t="s">
        <v>158</v>
      </c>
      <c r="B12" s="232" t="s">
        <v>171</v>
      </c>
      <c r="C12" s="232" t="s">
        <v>171</v>
      </c>
      <c r="D12" s="164">
        <f>IF(Inputs!$AO$13&gt;Inputs!$AO$12,Inputs!$AJ$13*Fixed_Weight!$D$9^3+Inputs!$AK$13*Fixed_Weight!$D$9^2+Inputs!$AL$13*Fixed_Weight!$D$9+Inputs!$AM$13,IF(Inputs!$AO$12&gt;Inputs!$AO$11,Inputs!$AJ$12*Fixed_Weight!$D$9^2+Inputs!$AK$12*Fixed_Weight!$D$9+Inputs!$AL$12,IF(Inputs!$AO$11&gt;Inputs!$AO$13,Inputs!$AJ$11*Fixed_Weight!$D$9+Inputs!$AK$11,0)))</f>
        <v>0</v>
      </c>
      <c r="E12" s="164">
        <f>IF(Inputs!$AO$17&gt;Inputs!$AO$16,Inputs!$AJ$17*Fixed_Weight!$E$9^3+Inputs!$AK$17*Fixed_Weight!$E$9^2+Inputs!$AL$17*Fixed_Weight!$E$9+Inputs!$AM$17,IF(Inputs!$AO$16&gt;Inputs!$AO$14,Inputs!$AJ$16*Fixed_Weight!$E$9^2+Inputs!$AK$16*Fixed_Weight!$E$9+Inputs!$AL$16,IF(Inputs!$AO$14&gt;Inputs!$AO$17,Inputs!$AJ$14*Fixed_Weight!$E$9+Inputs!$AK$14,0)))</f>
        <v>0</v>
      </c>
      <c r="F12" s="165">
        <f>IF(Inputs!$AO$20&gt;Inputs!$AO$19,Inputs!$AJ$20*Fixed_Weight!F9^3+Inputs!$AK$20*Fixed_Weight!F9^2+Inputs!$AL$20*Fixed_Weight!F9+Inputs!$AM$20,IF(Inputs!$AO$19&gt;Inputs!$AO$18,Inputs!$AJ$19*Fixed_Weight!F9^2+Inputs!$AK$19*Fixed_Weight!F9+Inputs!$AL$19,IF(Inputs!$AO$18&gt;Inputs!$AO$20,Inputs!$AJ$106*Fixed_Weight!F9+Inputs!$AK$18,0)))</f>
        <v>0</v>
      </c>
      <c r="G12" s="165">
        <f>IF(Inputs!$AO$23&gt;Inputs!$AO$22,Inputs!$AJ$23*Fixed_Weight!$G$9^3+Inputs!$AK$23*Fixed_Weight!$G$9^2+Inputs!$AL$23*Fixed_Weight!$G$9+Inputs!$AM$23,IF(Inputs!$AO$22&gt;Inputs!$AO$21,Inputs!$AJ$22*Fixed_Weight!$G$9^2+Inputs!$AK$22*Fixed_Weight!$G$9+Inputs!$AL$22,IF(Inputs!$AO$21&gt;Inputs!$AO$23,Inputs!$AJ$21*Fixed_Weight!$G$9+Inputs!$AK$21,0)))</f>
        <v>0</v>
      </c>
      <c r="H12" s="108"/>
      <c r="I12" s="373" t="s">
        <v>279</v>
      </c>
      <c r="J12" s="126" t="e">
        <f>IF(Inputs!$N$3=6,M12,IF(Inputs!$N$3=5,L12,IF(Inputs!$N$3=4,K12,"")))</f>
        <v>#DIV/0!</v>
      </c>
      <c r="K12" s="149" t="e">
        <f>SUM(B30:E30)</f>
        <v>#DIV/0!</v>
      </c>
      <c r="L12" s="149" t="e">
        <f>SUM(B30:F30)</f>
        <v>#DIV/0!</v>
      </c>
      <c r="M12" s="149" t="e">
        <f>SUM(B30:G30)</f>
        <v>#DIV/0!</v>
      </c>
    </row>
    <row r="13" spans="1:13" s="61" customFormat="1" ht="20" customHeight="1">
      <c r="A13" s="182" t="s">
        <v>86</v>
      </c>
      <c r="B13" s="167">
        <f>IF(Inputs!$BR$7&gt;Inputs!$BR$6,Inputs!$BM$7*Fixed_Weight!B9^3+Inputs!$BN$7*Fixed_Weight!B9^2+Inputs!$BO$7*Fixed_Weight!B9+Inputs!$BP$7,IF(Inputs!$BR$6&gt;Inputs!$BR$5,Inputs!$BM$6*Fixed_Weight!B9^2+Inputs!$BN$6*Fixed_Weight!B9+Inputs!$BO$6,IF(Inputs!$BR$5&gt;Inputs!$BR$7,Inputs!$BM$5*Fixed_Weight!B9+Inputs!$BN$5,0)))</f>
        <v>0</v>
      </c>
      <c r="C13" s="167">
        <f>IF(Inputs!$BR$10&gt;Inputs!$BR$9,Inputs!$BM$10*Fixed_Weight!C9^3+Inputs!$BN$10*Fixed_Weight!C9^2+Inputs!$BO$10*Fixed_Weight!C9+Inputs!$BP$10,IF(Inputs!$BR$6&gt;Inputs!$BR$9,Inputs!$BM$8*Fixed_Weight!C9^2+Inputs!$BN$9*Fixed_Weight!C9+Inputs!$BO$9,IF(Inputs!$BR$9&gt;Inputs!$BR$7,Inputs!$BM$10*Fixed_Weight!C9+Inputs!$BN$10,0)))</f>
        <v>0</v>
      </c>
      <c r="D13" s="167">
        <f>IF(Inputs!$BR$13&gt;Inputs!$BR$12,Inputs!$BM$13*Fixed_Weight!D9^3+Inputs!$BN$13*Fixed_Weight!D9^2+Inputs!$BO$13*Fixed_Weight!D9+Inputs!$BP$13,IF(Inputs!$BR$12&gt;Inputs!$BR$11,Inputs!$BM$12*Fixed_Weight!D9^2+Inputs!$BN$12*Fixed_Weight!D9+Inputs!$BO$12,IF(Inputs!$BR$11&gt;Inputs!$BR$13,Inputs!$BM$5*Fixed_Weight!D9+Inputs!$BN$11,0)))</f>
        <v>0</v>
      </c>
      <c r="E13" s="167">
        <f>IF(Inputs!$BR$17&gt;Inputs!$BR$16,Inputs!$BM$17*Fixed_Weight!E9^3+Inputs!$BN$17*Fixed_Weight!E9^2+Inputs!$BO$17*Fixed_Weight!E9+Inputs!$BP$17,IF(Inputs!$BR$16&gt;Inputs!$BR$14,Inputs!$BM$16*Fixed_Weight!E9^2+Inputs!$BN$16*Fixed_Weight!E9+Inputs!$BO$16,IF(Inputs!$BR$14&gt;Inputs!$BR$17,Inputs!$BM$14*Fixed_Weight!E9+Inputs!$BN$14,0)))</f>
        <v>0</v>
      </c>
      <c r="F13" s="167">
        <f>IF(Inputs!$BR$20&gt;Inputs!$BR$19,Inputs!$BM$20*Fixed_Weight!F9^3+Inputs!$BN$20*Fixed_Weight!F9^2+Inputs!$BO$20*Fixed_Weight!F9+Inputs!$BP$20,IF(Inputs!$BR$19&gt;Inputs!$BR$18,Inputs!$BM$19*Fixed_Weight!F9^2+Inputs!$BN$19*Fixed_Weight!F9+Inputs!$BO$19,IF(Inputs!$BR$18&gt;Inputs!$BR$20,Inputs!$BM$18*Fixed_Weight!F9+Inputs!$BN$18,0)))</f>
        <v>0</v>
      </c>
      <c r="G13" s="167">
        <f>IF(Inputs!$BR$23&gt;Inputs!$BR$22,Inputs!$BM$23*Fixed_Weight!G9^3+Inputs!$BN$23*Fixed_Weight!G9^2+Inputs!$BO$23*Fixed_Weight!G9+Inputs!$BP$23,IF(Inputs!$BR$22&gt;Inputs!$BR$21,Inputs!$BM$22*Fixed_Weight!G9^2+Inputs!$BN$22*Fixed_Weight!G9+Inputs!$BO$22,IF(Inputs!$BR$21&gt;Inputs!$BR$23,Inputs!$BM$21*Fixed_Weight!G9+Inputs!$BN$21,0)))</f>
        <v>0</v>
      </c>
      <c r="H13" s="108"/>
      <c r="I13" s="338" t="s">
        <v>39</v>
      </c>
      <c r="J13" s="122" t="e">
        <f>IF(Inputs!$N$3=6,M13,IF(Inputs!$N$3=5,L13,IF(Inputs!$N$3=4,K13,"")))</f>
        <v>#DIV/0!</v>
      </c>
      <c r="K13" s="149" t="e">
        <f>SUM(B27:E27)</f>
        <v>#DIV/0!</v>
      </c>
      <c r="L13" s="149" t="e">
        <f>SUM(B27:F27)</f>
        <v>#DIV/0!</v>
      </c>
      <c r="M13" s="149" t="e">
        <f>SUM(B27:G27)</f>
        <v>#DIV/0!</v>
      </c>
    </row>
    <row r="14" spans="1:13" ht="20" customHeight="1">
      <c r="A14" s="178" t="s">
        <v>159</v>
      </c>
      <c r="B14" s="193">
        <f>IF(Inputs!$H$19=1,((0.1135*(B9*2.2046))+(8.8142*(AVERAGE(B5:B6)/2.2046))-(0.05068*(AVERAGE(B5:B6)/2.2046))*(AVERAGE(B5:B6)/2.2046)+275.99),IF(Inputs!$H$19=2,((-0.1004*(B9*2.2046))+(1.6744*(AVERAGE(B5:B6)/2.2046))-(289.56*B13)+(0.1918*(B9*2.2046*B13))+836.56),0))</f>
        <v>546.98053430000004</v>
      </c>
      <c r="C14" s="193">
        <f>IF(Inputs!$H$19=1,((0.1135*(C9*2.2046))+(8.8142*(AVERAGE(C5:C6)/2.2046))-(0.05068*(AVERAGE(C5:C6)/2.2046))*(AVERAGE(C5:C6)/2.2046)+275.99),IF(Inputs!$H$19=2,((-0.1004*(C9*2.2046))+(1.6744*(AVERAGE(C5:C6)/2.2046))-(289.56*C13)+(0.1918*(C9*2.2046*C13))+836.56),0))</f>
        <v>550.48364370000013</v>
      </c>
      <c r="D14" s="193">
        <f>IF(Inputs!$H$19=1,((0.1135*(D9*2.2046))+(8.8142*(AVERAGE(D5:D6)/2.2046))-(0.05068*(AVERAGE(D5:D6)/2.2046))*(AVERAGE(D5:D6)/2.2046)+275.99),IF(Inputs!$H$19=2,((-0.1004*(D9*2.2046))+(1.6744*(AVERAGE(D5:D6)/2.2046))-(289.56*D13)+(0.1918*(D9*2.2046*D13))+836.56),0))</f>
        <v>553.73653100000001</v>
      </c>
      <c r="E14" s="193">
        <f>IF(Inputs!$H$19=1,((0.1135*(E9*2.2046))+(8.8142*(AVERAGE(E5:E6)/2.2046))-(0.05068*(AVERAGE(E5:E6)/2.2046))*(AVERAGE(E5:E6)/2.2046)+275.99),IF(Inputs!$H$19=2,((-0.1004*(E9*2.2046))+(1.6744*(AVERAGE(E5:E6)/2.2046))-(289.56*E13)+(0.1918*(E9*2.2046*E13))+836.56),0))</f>
        <v>555.9885299</v>
      </c>
      <c r="F14" s="262">
        <f>IF(Inputs!$H$19=1,((0.1135*(F9*2.2046))+(8.8142*(AVERAGE(F5:F6)/2.2046))-(0.05068*(AVERAGE(F5:F6)/2.2046))*(AVERAGE(F5:F6)/2.2046)+275.99),IF(Inputs!$H$19=2,((-0.1004*(F9*2.2046))+(1.6744*(AVERAGE(F5:F6)/2.2046))-(289.56*F13)+(0.1918*(F9*2.2046*F13))+836.56),0))</f>
        <v>557.74008460000005</v>
      </c>
      <c r="G14" s="262">
        <f>IF(Inputs!$H$19=1,((0.1135*(G9*2.2046))+(8.8142*(AVERAGE(G5:G6)/2.2046))-(0.05068*(AVERAGE(G5:G6)/2.2046))*(AVERAGE(G5:G6)/2.2046)+275.99),IF(Inputs!$H$19=2,((-0.1004*(G9*2.2046))+(1.6744*(AVERAGE(G5:G6)/2.2046))-(289.56*G13)+(0.1918*(G9*2.2046*G13))+836.56),0))</f>
        <v>565.99741390000008</v>
      </c>
      <c r="H14" s="108"/>
      <c r="I14" s="338" t="s">
        <v>40</v>
      </c>
      <c r="J14" s="122" t="e">
        <f>IF(Inputs!$N$3=6,M14,IF(Inputs!$N$3=5,L14,IF(Inputs!$N$3=4,K14,"")))</f>
        <v>#DIV/0!</v>
      </c>
      <c r="K14" s="149" t="e">
        <f>(SUM($B$27:$E$27))+(SUM($B$26:$E$26)*Inputs!$G$6)</f>
        <v>#DIV/0!</v>
      </c>
      <c r="L14" s="149" t="e">
        <f>(SUM($B$27:$F$27))+(SUM($B$26:$F$26)*Inputs!$G$6)</f>
        <v>#DIV/0!</v>
      </c>
      <c r="M14" s="149" t="e">
        <f>(SUM($B$27:$G$27))+(SUM($B$26:$G$26)*Inputs!$G$6)</f>
        <v>#DIV/0!</v>
      </c>
    </row>
    <row r="15" spans="1:13" ht="20" customHeight="1">
      <c r="A15" s="178" t="s">
        <v>160</v>
      </c>
      <c r="B15" s="193">
        <f>IF(Inputs!$H$19=1,((0.1135*(Inputs!$M$7*2.2046))+(8.8142*(AVERAGE(B5:B6)/2.2046))-(0.05068*(AVERAGE(B5:B6)/2.2046))*(AVERAGE(B5:B6)/2.2046)+275.99), IF(Inputs!$H$19=2,((-0.1004*(Inputs!$M$7*2.2046))+(1.6744*(AVERAGE(B5:B6)/2.2046))-(289.56*B13)+0.1918*(Inputs!$M$7*2.2046*B13)+836.56),0))</f>
        <v>275.99</v>
      </c>
      <c r="C15" s="193">
        <f>IF(Inputs!$H$19=1,((0.1135*(Inputs!$M$8*2.2046))+(8.8142*(AVERAGE(C5:C6)/2.2046))-(0.05068*(AVERAGE(C5:C6)/2.2046))*(AVERAGE(C5:C6)/2.2046)+275.99), IF(Inputs!$H$19=2,((-0.1004*(Inputs!$M$8*2.2046))+(1.6744*(AVERAGE(C5:C6)/2.2046))-(289.56*C13)+0.1918*(Inputs!$M$8*2.2046*C13)+836.56),0))</f>
        <v>275.99</v>
      </c>
      <c r="D15" s="193">
        <f>IF(Inputs!$H$19=1,((0.1135*(Inputs!$M$9*2.2046))+(8.8142*(AVERAGE(D5:D6)/2.2046))-(0.05068*(AVERAGE(D5:D6)/2.2046))*(AVERAGE(D5:D6)/2.2046)+275.99), IF(Inputs!$H$19=2,((-0.1004*(Inputs!$M$9*2.2046))+(1.6744*(AVERAGE(D5:D6)/2.2046))-(289.56*D13)+0.1918*(Inputs!$M$9*2.2046*D13)+836.56),0))</f>
        <v>275.99</v>
      </c>
      <c r="E15" s="193">
        <f>IF(Inputs!$H$19=1,((0.1135*(Inputs!$M$10*2.2046))+(8.8142*(AVERAGE(E5:E6)/2.2046))-(0.05068*(AVERAGE(E5:E6)/2.2046))*(AVERAGE(E5:E6)/2.2046)+275.99), IF(Inputs!$H$19=2,((-0.1004*(Inputs!$M$10*2.2046))+(1.6744*(AVERAGE(E5:E6)/2.2046))-(289.56*E13)+0.1918*(Inputs!$M$10*2.2046*E13)+836.56),0))</f>
        <v>275.99</v>
      </c>
      <c r="F15" s="262">
        <f>IF(Inputs!$H$19=1,((0.1135*(Inputs!$M$11*2.2046))+(8.8142*(AVERAGE(F5:F6)/2.2046))-(0.05068*(AVERAGE(F5:F6)/2.2046))*(AVERAGE(F5:F6)/2.2046)+275.99), IF(Inputs!$H$19=2,((-0.1004*(Inputs!$M$11*2.2046))+(1.6744*(AVERAGE(F5:F6)/2.2046))-(289.56*F13)+0.1918*(Inputs!$M$11*2.2046*F13)+836.56),0))</f>
        <v>275.99</v>
      </c>
      <c r="G15" s="262">
        <f>IF(Inputs!$H$19=1,((0.1135*(Inputs!$M$12*2.2046))+(8.8142*(AVERAGE(G5:G6)/2.2046))-(0.05068*(AVERAGE(G5:G6)/2.2046))*(AVERAGE(G5:G6)/2.2046)+275.99), IF(Inputs!$H$19=2,((-0.1004*(Inputs!$M$12*2.2046))+(1.6744*(AVERAGE(G5:G6)/2.2046))-(289.56*G13)+0.1918*(Inputs!$M$12*2.2046*G13)+836.56),0))</f>
        <v>275.99</v>
      </c>
      <c r="H15" s="142"/>
      <c r="I15" s="338" t="s">
        <v>142</v>
      </c>
      <c r="J15" s="122">
        <f>IF(Inputs!$N$3=6,M15,IF(Inputs!$N$3=5,L15,IF(Inputs!$N$3=4,K15,"")))</f>
        <v>0</v>
      </c>
      <c r="K15" s="172">
        <f>IF(Inputs!$H$13=1,((SUM($B$28:$E$28))+Inputs!$K$7/2.2046)*Inputs!$G$3*2.2046,((SUM($B$28:$E$28))+Inputs!$K$7/2.2046)*(Inputs!$G$9/100)*(Inputs!$G$4*2.2046))</f>
        <v>0</v>
      </c>
      <c r="L15" s="172">
        <f>IF(Inputs!$H$13=1,((SUM($B$28:$F$28))+Inputs!$K$7/2.2046)*Inputs!$G$3*2.2046,((SUM($B$28:$F$28))+Inputs!$K$7/2.2046)*(Inputs!$G$9/100)*(Inputs!$G$4*2.2046))</f>
        <v>0</v>
      </c>
      <c r="M15" s="172">
        <f>IF(Inputs!$H$13=1,((SUM($B$28:$G$28))+(Inputs!$K$7/2.2046))*Inputs!$G$3*2.2046,((SUM($B$28:$G$28))+(Inputs!$K$7/2.2046))*(Inputs!$G$9/100)*(Inputs!$G$4*2.2046))</f>
        <v>0</v>
      </c>
    </row>
    <row r="16" spans="1:13" ht="20" customHeight="1">
      <c r="A16" s="178" t="s">
        <v>296</v>
      </c>
      <c r="B16" s="193">
        <f t="shared" ref="B16:G16" si="7">B17/2.2046</f>
        <v>0</v>
      </c>
      <c r="C16" s="193">
        <f t="shared" si="7"/>
        <v>0</v>
      </c>
      <c r="D16" s="193">
        <f t="shared" si="7"/>
        <v>0</v>
      </c>
      <c r="E16" s="193">
        <f t="shared" si="7"/>
        <v>0</v>
      </c>
      <c r="F16" s="262">
        <f t="shared" si="7"/>
        <v>0</v>
      </c>
      <c r="G16" s="262">
        <f t="shared" si="7"/>
        <v>0</v>
      </c>
      <c r="H16" s="142"/>
      <c r="I16" s="338" t="s">
        <v>198</v>
      </c>
      <c r="J16" s="122" t="e">
        <f>IF(Inputs!$N$3=6,M16,IF(Inputs!$N$3=5,L16,IF(Inputs!$N$3=4,K16,"")))</f>
        <v>#DIV/0!</v>
      </c>
      <c r="K16" s="149" t="e">
        <f>$K$15-$K$13</f>
        <v>#DIV/0!</v>
      </c>
      <c r="L16" s="149" t="e">
        <f>$L$15-$L$13</f>
        <v>#DIV/0!</v>
      </c>
      <c r="M16" s="149" t="e">
        <f>$M$15-$M$13</f>
        <v>#DIV/0!</v>
      </c>
    </row>
    <row r="17" spans="1:13" ht="20" hidden="1" customHeight="1">
      <c r="A17" s="178" t="s">
        <v>161</v>
      </c>
      <c r="B17" s="193">
        <f t="shared" ref="B17:G17" si="8">AVERAGE(B5:B6)</f>
        <v>0</v>
      </c>
      <c r="C17" s="193">
        <f t="shared" si="8"/>
        <v>0</v>
      </c>
      <c r="D17" s="193">
        <f t="shared" si="8"/>
        <v>0</v>
      </c>
      <c r="E17" s="193">
        <f t="shared" si="8"/>
        <v>0</v>
      </c>
      <c r="F17" s="262">
        <f t="shared" si="8"/>
        <v>0</v>
      </c>
      <c r="G17" s="262">
        <f t="shared" si="8"/>
        <v>0</v>
      </c>
      <c r="H17" s="142"/>
    </row>
    <row r="18" spans="1:13" ht="20" customHeight="1">
      <c r="A18" s="178" t="s">
        <v>162</v>
      </c>
      <c r="B18" s="193">
        <f>((GrowthCurveAdjustments!$J$3*Fixed_Weight!B17^3+GrowthCurveAdjustments!$K$3*Fixed_Weight!B17^2+GrowthCurveAdjustments!$L$3*Fixed_Weight!B17+GrowthCurveAdjustments!$M$3)/2.2046)*1000</f>
        <v>0</v>
      </c>
      <c r="C18" s="193">
        <f>((GrowthCurveAdjustments!$J$3*Fixed_Weight!C17^3+GrowthCurveAdjustments!$K$3*Fixed_Weight!C17^2+GrowthCurveAdjustments!$L$3*Fixed_Weight!C17+GrowthCurveAdjustments!$M$3)/2.2046)*1000</f>
        <v>0</v>
      </c>
      <c r="D18" s="193">
        <f>((GrowthCurveAdjustments!$J$3*Fixed_Weight!D17^3+GrowthCurveAdjustments!$K$3*Fixed_Weight!D17^2+GrowthCurveAdjustments!$L$3*Fixed_Weight!D17+GrowthCurveAdjustments!$M$3)/2.2046)*1000</f>
        <v>0</v>
      </c>
      <c r="E18" s="193">
        <f>((GrowthCurveAdjustments!$J$3*Fixed_Weight!E17^3+GrowthCurveAdjustments!$K$3*Fixed_Weight!E17^2+GrowthCurveAdjustments!$L$3*Fixed_Weight!E17+GrowthCurveAdjustments!$M$3)/2.2046)*1000</f>
        <v>0</v>
      </c>
      <c r="F18" s="262">
        <f>((GrowthCurveAdjustments!$J$3*Fixed_Weight!F17^3+GrowthCurveAdjustments!$K$3*Fixed_Weight!F17^2+GrowthCurveAdjustments!$L$3*Fixed_Weight!F17+GrowthCurveAdjustments!$M$3)/2.2046)*1000</f>
        <v>0</v>
      </c>
      <c r="G18" s="262">
        <f>((GrowthCurveAdjustments!$J$3*Fixed_Weight!G17^3+GrowthCurveAdjustments!$K$3*Fixed_Weight!G17^2+GrowthCurveAdjustments!$L$3*Fixed_Weight!G17+GrowthCurveAdjustments!$M$3)/2.2046)*1000</f>
        <v>0</v>
      </c>
      <c r="H18" s="142"/>
      <c r="I18" s="338" t="s">
        <v>200</v>
      </c>
      <c r="J18" s="122" t="e">
        <f>IF(Inputs!$N$3=6,M18,IF(Inputs!$N$3=5,L18,IF(Inputs!$N$3=4,K18,"")))</f>
        <v>#DIV/0!</v>
      </c>
      <c r="K18" s="149" t="e">
        <f>(((SUM($B$28:$E$28)+Inputs!$K$7/2.2046)*(Inputs!$G$3*2.2046))-$K$14)</f>
        <v>#DIV/0!</v>
      </c>
      <c r="L18" s="149" t="e">
        <f>(((SUM($B$28:$F$28)+Inputs!$K$7/2.2046)*(Inputs!$G$3*2.2046))-$L$14)</f>
        <v>#DIV/0!</v>
      </c>
      <c r="M18" s="149" t="e">
        <f>(((SUM($B$28:$G$28)+Inputs!$K$7/2.2046)*(Inputs!$G$3*2.2046))-$M$14)</f>
        <v>#DIV/0!</v>
      </c>
    </row>
    <row r="19" spans="1:13" ht="20" customHeight="1">
      <c r="A19" s="178" t="s">
        <v>163</v>
      </c>
      <c r="B19" s="193">
        <f>B18-B15</f>
        <v>-275.99</v>
      </c>
      <c r="C19" s="193">
        <f t="shared" ref="C19:G19" si="9">C18-C15</f>
        <v>-275.99</v>
      </c>
      <c r="D19" s="193">
        <f t="shared" si="9"/>
        <v>-275.99</v>
      </c>
      <c r="E19" s="193">
        <f t="shared" si="9"/>
        <v>-275.99</v>
      </c>
      <c r="F19" s="262">
        <f t="shared" si="9"/>
        <v>-275.99</v>
      </c>
      <c r="G19" s="262">
        <f t="shared" si="9"/>
        <v>-275.99</v>
      </c>
      <c r="H19" s="142"/>
      <c r="I19" s="338" t="s">
        <v>199</v>
      </c>
      <c r="J19" s="122" t="e">
        <f>IF(Inputs!$N$3=6,M19,IF(Inputs!$N$3=5,L19,IF(Inputs!$N$3=4,K19,"")))</f>
        <v>#DIV/0!</v>
      </c>
      <c r="K19" s="149" t="e">
        <f>(((SUM($B$28:$E$28)+Inputs!$K$7/2.2046)*($E$43)/100)*(Inputs!$G$4*2.2046)-$K$14)</f>
        <v>#DIV/0!</v>
      </c>
      <c r="L19" s="149" t="e">
        <f>(((SUM($B$28:$F$28)+Inputs!$K$7/2.2046)*($F$43)/100)*(Inputs!$G$4*2.2046)-$L$14)</f>
        <v>#DIV/0!</v>
      </c>
      <c r="M19" s="149" t="e">
        <f>(((SUM($B$28:$G$28)+Inputs!$K$7/2.2046)*($G$43)/100)*(Inputs!$G$4*2.2046)-$M$14)</f>
        <v>#DIV/0!</v>
      </c>
    </row>
    <row r="20" spans="1:13" ht="20" customHeight="1">
      <c r="A20" s="178" t="s">
        <v>166</v>
      </c>
      <c r="B20" s="193">
        <f>B14+B19</f>
        <v>270.99053430000004</v>
      </c>
      <c r="C20" s="193">
        <f t="shared" ref="C20:G20" si="10">C14+C19</f>
        <v>274.49364370000012</v>
      </c>
      <c r="D20" s="193">
        <f t="shared" si="10"/>
        <v>277.746531</v>
      </c>
      <c r="E20" s="193">
        <f t="shared" si="10"/>
        <v>279.99852989999999</v>
      </c>
      <c r="F20" s="262">
        <f t="shared" si="10"/>
        <v>281.75008460000004</v>
      </c>
      <c r="G20" s="262">
        <f t="shared" si="10"/>
        <v>290.00741390000007</v>
      </c>
      <c r="H20" s="142"/>
      <c r="I20" s="335" t="s">
        <v>143</v>
      </c>
      <c r="J20" s="336" t="e">
        <f>IF(Inputs!$N$3=6,M20,IF(Inputs!$N$3=5,L20,IF(Inputs!$N$3=4,K20,"")))</f>
        <v>#DIV/0!</v>
      </c>
      <c r="K20" s="149" t="e">
        <f>(((SUM($B$28:$E$28)+Inputs!$K$7)*(Inputs!$G$3*2.2046))-$K$14)-(Inputs!$G$5+Inputs!$G$10)</f>
        <v>#DIV/0!</v>
      </c>
      <c r="L20" s="149" t="e">
        <f>(((SUM($B$28:$F$28)+Inputs!$K$7/2.2046)*(Inputs!$G$3*2.2046))-$L$14)-(Inputs!$G$5+Inputs!$G$10)</f>
        <v>#DIV/0!</v>
      </c>
      <c r="M20" s="149" t="e">
        <f>(((SUM($B$28:$G$28)+Inputs!$K$7/2.2046)*(Inputs!$G$3*2.2046))-$M$14)-(Inputs!$G$5+Inputs!$G$10)</f>
        <v>#DIV/0!</v>
      </c>
    </row>
    <row r="21" spans="1:13" ht="20" customHeight="1">
      <c r="A21" s="194"/>
      <c r="B21" s="194"/>
      <c r="C21" s="194"/>
      <c r="D21" s="194"/>
      <c r="E21" s="194"/>
      <c r="F21" s="154"/>
      <c r="G21" s="154"/>
      <c r="H21" s="142"/>
      <c r="I21" s="335" t="s">
        <v>144</v>
      </c>
      <c r="J21" s="336" t="e">
        <f>IF(Inputs!$N$3=6,M21,IF(Inputs!$N$3=5,L21,IF(Inputs!$N$3=4,K21,"")))</f>
        <v>#DIV/0!</v>
      </c>
      <c r="K21" s="149" t="e">
        <f>(((SUM($B$28:$E$28)+Inputs!$K$7)*($E$43)/100)*(Inputs!$G$4*2.2046)-$K$14)-(Inputs!$G$5+Inputs!$G$10)</f>
        <v>#DIV/0!</v>
      </c>
      <c r="L21" s="149" t="e">
        <f>(((SUM($B$28:$F$28)+Inputs!$K$7)*($F$43)/100)*(Inputs!$G$4*2.2046)-$L$14)-(Inputs!$G$5+Inputs!$G$10)</f>
        <v>#DIV/0!</v>
      </c>
      <c r="M21" s="149" t="e">
        <f>(((SUM($B$28:$G$28)+Inputs!$K$7/2.2046)*($G$43)/100)*(Inputs!$G$4*2.2046)-$M$14)-(Inputs!$G$5+Inputs!G10)</f>
        <v>#DIV/0!</v>
      </c>
    </row>
    <row r="22" spans="1:13" ht="20" customHeight="1">
      <c r="A22" s="178" t="s">
        <v>164</v>
      </c>
      <c r="B22" s="189" t="e">
        <f>1/(GrowthCurveAdjustments!$J$4*Fixed_Weight!B17^3+GrowthCurveAdjustments!$K$4*Fixed_Weight!B17^2+GrowthCurveAdjustments!$L$4*Fixed_Weight!B17+GrowthCurveAdjustments!$M$4)</f>
        <v>#DIV/0!</v>
      </c>
      <c r="C22" s="189" t="e">
        <f>1/(GrowthCurveAdjustments!$J$4*Fixed_Weight!C17^3+GrowthCurveAdjustments!$K$4*Fixed_Weight!C17^2+GrowthCurveAdjustments!$L$4*Fixed_Weight!C17+GrowthCurveAdjustments!$M$4)</f>
        <v>#DIV/0!</v>
      </c>
      <c r="D22" s="189" t="e">
        <f>1/(GrowthCurveAdjustments!$J$4*Fixed_Weight!D17^3+GrowthCurveAdjustments!$K$4*Fixed_Weight!D17^2+GrowthCurveAdjustments!$L$4*Fixed_Weight!D17+GrowthCurveAdjustments!$M$4)</f>
        <v>#DIV/0!</v>
      </c>
      <c r="E22" s="189" t="e">
        <f>1/(GrowthCurveAdjustments!$J$4*Fixed_Weight!E17^3+GrowthCurveAdjustments!$K$4*Fixed_Weight!E17^2+GrowthCurveAdjustments!$L$4*Fixed_Weight!E17+GrowthCurveAdjustments!$M$4)</f>
        <v>#DIV/0!</v>
      </c>
      <c r="F22" s="263" t="e">
        <f>1/(GrowthCurveAdjustments!$J$4*Fixed_Weight!F17^3+GrowthCurveAdjustments!$K$4*Fixed_Weight!F17^2+GrowthCurveAdjustments!$L$4*Fixed_Weight!F17+GrowthCurveAdjustments!$M$4)</f>
        <v>#DIV/0!</v>
      </c>
      <c r="G22" s="263" t="e">
        <f>1/(GrowthCurveAdjustments!$J$4*Fixed_Weight!G17^3+GrowthCurveAdjustments!$K$4*Fixed_Weight!G17^2+GrowthCurveAdjustments!$L$4*Fixed_Weight!G17+GrowthCurveAdjustments!$M$4)</f>
        <v>#DIV/0!</v>
      </c>
      <c r="H22" s="142"/>
      <c r="I22" s="338"/>
      <c r="J22" s="122"/>
      <c r="K22" s="150"/>
      <c r="L22" s="150"/>
      <c r="M22" s="150"/>
    </row>
    <row r="23" spans="1:13" ht="20" customHeight="1">
      <c r="A23" s="178" t="s">
        <v>165</v>
      </c>
      <c r="B23" s="189" t="e">
        <f>IF(Inputs!$H$19=1,((B9/Inputs!$M$7)*(B22)), IF(Inputs!$H$19=2,((0.000004365*(Inputs!$M$7*2.2046))-((0.00162*B17)/2.2046)-(0.08023*B13)+(0.000094*(Inputs!$M$7*2.2046)*B13)+0.3496),0))</f>
        <v>#DIV/0!</v>
      </c>
      <c r="C23" s="189" t="e">
        <f>IF(Inputs!$H$19=1,((C9/Inputs!$M$8)*(C22)), IF(Inputs!$H$19=2,((0.000004365*(Inputs!$M$8*2.2046))-((0.00162*C17)/2.2046)-(0.08023*C13)+(0.000094*(Inputs!$M$8*2.2046)*C13)+0.3496),0))</f>
        <v>#DIV/0!</v>
      </c>
      <c r="D23" s="189" t="e">
        <f>IF(Inputs!$H$19=1,((D9/Inputs!$M$9)*(D22)), IF(Inputs!$H$19=2,((0.000004365*(Inputs!$M$9*2.2046))-((0.00162*D17)/2.2046)-(0.08023*D13)+(0.000094*(Inputs!$M$9*2.2046)*D13)+0.3496),0))</f>
        <v>#DIV/0!</v>
      </c>
      <c r="E23" s="189" t="e">
        <f>IF(Inputs!$H$19=1,((E9/Inputs!$M$10)*(E22)), IF(Inputs!$H$19=2,((0.000004365*(Inputs!$M$10*2.2046))-((0.00162*E17)/2.2046)-(0.08023*E13)+(0.000094*(Inputs!$M$10*2.2046)*E13)+0.3496),0))</f>
        <v>#DIV/0!</v>
      </c>
      <c r="F23" s="263" t="e">
        <f>IF(Inputs!$H$19=1,((F9/Inputs!$M$11)*(F22)), IF(Inputs!$H$19=2,((0.000004365*(Inputs!$M$11*2.2046))-((0.00162*F17)/2.2046)-(0.08023*F13)+(0.000094*(Inputs!$M$11*2.2046)*F13)+0.3496),0))</f>
        <v>#DIV/0!</v>
      </c>
      <c r="G23" s="263" t="e">
        <f>IF(Inputs!$H$19=1,((G9/Inputs!$M$12)*(G22)), IF(Inputs!$H$19=2,((0.000004365*(Inputs!$M$12*2.2046))-((0.00162*G17)/2.2046)-(0.08023*G13)+(0.000094*(Inputs!$M$12*2.2046)*G13)+0.3496),0))</f>
        <v>#DIV/0!</v>
      </c>
      <c r="H23" s="142"/>
      <c r="I23" s="338" t="str">
        <f>IF(Inputs!$H$13=1, $I$20,IF(Inputs!$H$13=2, $I$21,""))</f>
        <v xml:space="preserve">  IOTC Carcass, $/pig</v>
      </c>
      <c r="J23" s="122" t="e">
        <f>IF(Inputs!$N$3=6,(VLOOKUP($I$23,$I$20:$M$21,5,0)),IF(Inputs!$N$3=5,(VLOOKUP($I$23,$I$20:$M$21,4,0)),IF(Inputs!$N$3=4,(VLOOKUP($I$23,$I$20:$M$21,3,0)))))</f>
        <v>#DIV/0!</v>
      </c>
      <c r="K23" s="152"/>
      <c r="L23" s="153"/>
      <c r="M23" s="150"/>
    </row>
    <row r="24" spans="1:13" ht="20" customHeight="1">
      <c r="A24" s="194"/>
      <c r="B24" s="194"/>
      <c r="C24" s="194"/>
      <c r="D24" s="194"/>
      <c r="E24" s="194"/>
      <c r="F24" s="154"/>
      <c r="G24" s="154"/>
      <c r="H24" s="118"/>
      <c r="I24" s="90"/>
      <c r="J24" s="90"/>
      <c r="K24" s="204"/>
      <c r="L24" s="204"/>
      <c r="M24" s="155"/>
    </row>
    <row r="25" spans="1:13" ht="20" customHeight="1">
      <c r="A25" s="178" t="s">
        <v>206</v>
      </c>
      <c r="B25" s="170" t="e">
        <f>B20/B23</f>
        <v>#DIV/0!</v>
      </c>
      <c r="C25" s="170" t="e">
        <f t="shared" ref="C25:G25" si="11">C20/C23</f>
        <v>#DIV/0!</v>
      </c>
      <c r="D25" s="170" t="e">
        <f t="shared" si="11"/>
        <v>#DIV/0!</v>
      </c>
      <c r="E25" s="170" t="e">
        <f t="shared" si="11"/>
        <v>#DIV/0!</v>
      </c>
      <c r="F25" s="264" t="e">
        <f t="shared" si="11"/>
        <v>#DIV/0!</v>
      </c>
      <c r="G25" s="264" t="e">
        <f t="shared" si="11"/>
        <v>#DIV/0!</v>
      </c>
      <c r="H25" s="118"/>
      <c r="I25" s="90"/>
      <c r="J25" s="90"/>
      <c r="K25" s="204"/>
      <c r="L25" s="206"/>
      <c r="M25" s="155"/>
    </row>
    <row r="26" spans="1:13" ht="20" customHeight="1">
      <c r="A26" s="178" t="s">
        <v>207</v>
      </c>
      <c r="B26" s="163">
        <f t="shared" ref="B26:G26" si="12">((B6-B5)/2.2046)/(B20/1000)</f>
        <v>0</v>
      </c>
      <c r="C26" s="163">
        <f t="shared" si="12"/>
        <v>0</v>
      </c>
      <c r="D26" s="163">
        <f t="shared" si="12"/>
        <v>0</v>
      </c>
      <c r="E26" s="163">
        <f t="shared" si="12"/>
        <v>0</v>
      </c>
      <c r="F26" s="260">
        <f t="shared" si="12"/>
        <v>0</v>
      </c>
      <c r="G26" s="260">
        <f t="shared" si="12"/>
        <v>0</v>
      </c>
      <c r="H26" s="114"/>
      <c r="I26" s="315"/>
      <c r="J26" s="120"/>
      <c r="K26" s="150"/>
      <c r="L26" s="206"/>
      <c r="M26" s="156"/>
    </row>
    <row r="27" spans="1:13" ht="20" customHeight="1">
      <c r="A27" s="178" t="s">
        <v>208</v>
      </c>
      <c r="B27" s="172" t="e">
        <f t="shared" ref="B27:G27" si="13">(B26*(B25/1000)*(B11/1000))</f>
        <v>#DIV/0!</v>
      </c>
      <c r="C27" s="172" t="e">
        <f t="shared" si="13"/>
        <v>#DIV/0!</v>
      </c>
      <c r="D27" s="172" t="e">
        <f t="shared" si="13"/>
        <v>#DIV/0!</v>
      </c>
      <c r="E27" s="172" t="e">
        <f t="shared" si="13"/>
        <v>#DIV/0!</v>
      </c>
      <c r="F27" s="160" t="e">
        <f t="shared" si="13"/>
        <v>#DIV/0!</v>
      </c>
      <c r="G27" s="160" t="e">
        <f t="shared" si="13"/>
        <v>#DIV/0!</v>
      </c>
      <c r="H27" s="142"/>
      <c r="I27" s="315"/>
      <c r="J27" s="120"/>
      <c r="K27" s="150"/>
      <c r="L27" s="150"/>
      <c r="M27" s="156"/>
    </row>
    <row r="28" spans="1:13" ht="20" customHeight="1">
      <c r="A28" s="178" t="s">
        <v>286</v>
      </c>
      <c r="B28" s="163">
        <f t="shared" ref="B28:G28" si="14">B20/1000*B26</f>
        <v>0</v>
      </c>
      <c r="C28" s="163">
        <f t="shared" si="14"/>
        <v>0</v>
      </c>
      <c r="D28" s="163">
        <f t="shared" si="14"/>
        <v>0</v>
      </c>
      <c r="E28" s="163">
        <f t="shared" si="14"/>
        <v>0</v>
      </c>
      <c r="F28" s="260">
        <f t="shared" si="14"/>
        <v>0</v>
      </c>
      <c r="G28" s="260">
        <f t="shared" si="14"/>
        <v>0</v>
      </c>
      <c r="H28" s="117"/>
      <c r="I28" s="315"/>
      <c r="J28" s="120"/>
      <c r="K28" s="150"/>
      <c r="L28" s="150"/>
      <c r="M28" s="158"/>
    </row>
    <row r="29" spans="1:13" ht="20" customHeight="1">
      <c r="A29" s="178" t="s">
        <v>290</v>
      </c>
      <c r="B29" s="172" t="e">
        <f t="shared" ref="B29:G29" si="15">B11/1000*(1/B23)</f>
        <v>#DIV/0!</v>
      </c>
      <c r="C29" s="172" t="e">
        <f t="shared" si="15"/>
        <v>#DIV/0!</v>
      </c>
      <c r="D29" s="172" t="e">
        <f t="shared" si="15"/>
        <v>#DIV/0!</v>
      </c>
      <c r="E29" s="172" t="e">
        <f t="shared" si="15"/>
        <v>#DIV/0!</v>
      </c>
      <c r="F29" s="160" t="e">
        <f t="shared" si="15"/>
        <v>#DIV/0!</v>
      </c>
      <c r="G29" s="160" t="e">
        <f t="shared" si="15"/>
        <v>#DIV/0!</v>
      </c>
      <c r="H29" s="107"/>
      <c r="I29" s="315"/>
      <c r="J29" s="120"/>
      <c r="K29" s="150"/>
      <c r="L29" s="150"/>
      <c r="M29" s="156"/>
    </row>
    <row r="30" spans="1:13" ht="20" customHeight="1">
      <c r="A30" s="178" t="s">
        <v>287</v>
      </c>
      <c r="B30" s="172" t="e">
        <f t="shared" ref="B30:G30" si="16">(B25/1000)*B26</f>
        <v>#DIV/0!</v>
      </c>
      <c r="C30" s="172" t="e">
        <f t="shared" si="16"/>
        <v>#DIV/0!</v>
      </c>
      <c r="D30" s="172" t="e">
        <f t="shared" si="16"/>
        <v>#DIV/0!</v>
      </c>
      <c r="E30" s="172" t="e">
        <f t="shared" si="16"/>
        <v>#DIV/0!</v>
      </c>
      <c r="F30" s="160" t="e">
        <f t="shared" si="16"/>
        <v>#DIV/0!</v>
      </c>
      <c r="G30" s="160" t="e">
        <f t="shared" si="16"/>
        <v>#DIV/0!</v>
      </c>
      <c r="H30" s="118"/>
      <c r="I30" s="16"/>
      <c r="J30" s="112"/>
      <c r="K30" s="205"/>
      <c r="L30" s="150"/>
      <c r="M30" s="156"/>
    </row>
    <row r="31" spans="1:13" ht="20" customHeight="1">
      <c r="A31" s="178" t="s">
        <v>209</v>
      </c>
      <c r="B31" s="172" t="e">
        <f>B27+(B26*Inputs!$G$6)</f>
        <v>#DIV/0!</v>
      </c>
      <c r="C31" s="172" t="e">
        <f>C27+(C26*Inputs!$G$6)</f>
        <v>#DIV/0!</v>
      </c>
      <c r="D31" s="172" t="e">
        <f>D27+(D26*Inputs!$G$6)</f>
        <v>#DIV/0!</v>
      </c>
      <c r="E31" s="172" t="e">
        <f>E27+(E26*Inputs!$G$6)</f>
        <v>#DIV/0!</v>
      </c>
      <c r="F31" s="160" t="e">
        <f>F27+(F26*Inputs!$G$6)</f>
        <v>#DIV/0!</v>
      </c>
      <c r="G31" s="160" t="e">
        <f>G27+(G26*Inputs!$G$6)</f>
        <v>#DIV/0!</v>
      </c>
      <c r="H31" s="119"/>
      <c r="I31" s="103"/>
      <c r="J31" s="120"/>
      <c r="K31" s="150"/>
      <c r="L31" s="203"/>
      <c r="M31" s="156"/>
    </row>
    <row r="32" spans="1:13" ht="20" customHeight="1">
      <c r="A32" s="178" t="s">
        <v>210</v>
      </c>
      <c r="B32" s="172">
        <f>B28*Inputs!$G$3*2.2046</f>
        <v>0</v>
      </c>
      <c r="C32" s="172">
        <f>C28*Inputs!$G$3*2.2046</f>
        <v>0</v>
      </c>
      <c r="D32" s="172">
        <f>D28*Inputs!$G$3*2.2046</f>
        <v>0</v>
      </c>
      <c r="E32" s="172">
        <f>E28*Inputs!$G$3*2.2046</f>
        <v>0</v>
      </c>
      <c r="F32" s="160">
        <f>F28*Inputs!$G$3*2.2046</f>
        <v>0</v>
      </c>
      <c r="G32" s="160">
        <f>G28*Inputs!$G$3*2.2046</f>
        <v>0</v>
      </c>
      <c r="H32" s="119"/>
      <c r="I32" s="103"/>
      <c r="J32" s="120"/>
      <c r="K32" s="150"/>
      <c r="L32" s="203"/>
      <c r="M32" s="156"/>
    </row>
    <row r="33" spans="1:13" ht="20" customHeight="1">
      <c r="A33" s="178" t="s">
        <v>211</v>
      </c>
      <c r="B33" s="172" t="e">
        <f t="shared" ref="B33:G33" si="17">B32-B27</f>
        <v>#DIV/0!</v>
      </c>
      <c r="C33" s="172" t="e">
        <f t="shared" si="17"/>
        <v>#DIV/0!</v>
      </c>
      <c r="D33" s="172" t="e">
        <f t="shared" si="17"/>
        <v>#DIV/0!</v>
      </c>
      <c r="E33" s="172" t="e">
        <f t="shared" si="17"/>
        <v>#DIV/0!</v>
      </c>
      <c r="F33" s="160" t="e">
        <f t="shared" si="17"/>
        <v>#DIV/0!</v>
      </c>
      <c r="G33" s="160" t="e">
        <f t="shared" si="17"/>
        <v>#DIV/0!</v>
      </c>
      <c r="H33" s="119"/>
      <c r="I33" s="121"/>
      <c r="J33" s="120"/>
      <c r="K33" s="150"/>
      <c r="L33" s="203"/>
      <c r="M33" s="156"/>
    </row>
    <row r="34" spans="1:13" ht="20" customHeight="1">
      <c r="A34" s="178" t="s">
        <v>212</v>
      </c>
      <c r="B34" s="172" t="e">
        <f>B32-B31</f>
        <v>#DIV/0!</v>
      </c>
      <c r="C34" s="172" t="e">
        <f t="shared" ref="C34:G34" si="18">C32-C31</f>
        <v>#DIV/0!</v>
      </c>
      <c r="D34" s="172" t="e">
        <f t="shared" si="18"/>
        <v>#DIV/0!</v>
      </c>
      <c r="E34" s="172" t="e">
        <f t="shared" si="18"/>
        <v>#DIV/0!</v>
      </c>
      <c r="F34" s="160" t="e">
        <f t="shared" si="18"/>
        <v>#DIV/0!</v>
      </c>
      <c r="G34" s="160" t="e">
        <f t="shared" si="18"/>
        <v>#DIV/0!</v>
      </c>
      <c r="H34" s="119"/>
      <c r="I34" s="103"/>
      <c r="J34" s="120"/>
      <c r="K34" s="156"/>
      <c r="L34" s="157"/>
      <c r="M34" s="156"/>
    </row>
    <row r="35" spans="1:13" ht="20" customHeight="1">
      <c r="A35" s="178"/>
      <c r="B35" s="172"/>
      <c r="C35" s="172"/>
      <c r="D35" s="172"/>
      <c r="E35" s="172"/>
      <c r="F35" s="160"/>
      <c r="G35" s="160"/>
      <c r="H35" s="119"/>
      <c r="I35" s="103"/>
      <c r="J35" s="311"/>
      <c r="K35" s="311"/>
      <c r="L35" s="311"/>
      <c r="M35" s="311"/>
    </row>
    <row r="36" spans="1:13" ht="20" customHeight="1">
      <c r="A36" s="345" t="s">
        <v>230</v>
      </c>
      <c r="B36" s="344" t="str">
        <f>CONCATENATE($A$36,"-",Inputs!$N$3-1)</f>
        <v>Ph-5</v>
      </c>
      <c r="C36" s="344" t="str">
        <f>CONCATENATE($A$36,"-",Inputs!$N$3)</f>
        <v>Ph-6</v>
      </c>
      <c r="D36" s="204"/>
      <c r="E36" s="204"/>
      <c r="F36" s="204"/>
      <c r="G36" s="204"/>
      <c r="H36" s="334"/>
      <c r="I36" s="119"/>
      <c r="J36" s="119"/>
      <c r="K36" s="160"/>
      <c r="L36" s="157"/>
      <c r="M36" s="156"/>
    </row>
    <row r="37" spans="1:13" ht="20" customHeight="1">
      <c r="A37" s="178" t="s">
        <v>213</v>
      </c>
      <c r="B37" s="163"/>
      <c r="C37" s="163">
        <f>IF(Inputs!$N$3=4,$E37,IF(Inputs!$N$3=5,$F37,IF(Inputs!$N$3=6,$G37,"")))</f>
        <v>0</v>
      </c>
      <c r="D37" s="260"/>
      <c r="E37" s="260">
        <f>Inputs!$G$9</f>
        <v>0</v>
      </c>
      <c r="F37" s="260">
        <f>Inputs!$G$9</f>
        <v>0</v>
      </c>
      <c r="G37" s="260">
        <f>Inputs!$G$9</f>
        <v>0</v>
      </c>
      <c r="H37" s="334"/>
      <c r="I37" s="103"/>
      <c r="J37" s="120"/>
      <c r="K37" s="156"/>
      <c r="L37" s="157"/>
      <c r="M37" s="156"/>
    </row>
    <row r="38" spans="1:13" ht="20" customHeight="1">
      <c r="A38" s="178" t="s">
        <v>214</v>
      </c>
      <c r="B38" s="163">
        <f>IF(Inputs!$N$3=4,$D$38,IF(Inputs!$N$3=5,$E$38,IF(Inputs!$N$3=6,$F$38,"")))</f>
        <v>0</v>
      </c>
      <c r="C38" s="163">
        <f>IF(Inputs!$N$3=4,$E38,IF(Inputs!$N$3=5,$F38,IF(Inputs!$N$3=6,$G38,"")))</f>
        <v>0</v>
      </c>
      <c r="D38" s="165">
        <f>VLOOKUP(Inputs!$M$9,Inputs!$J$32:$L$36,3,FALSE)</f>
        <v>0</v>
      </c>
      <c r="E38" s="165">
        <f>VLOOKUP(Inputs!$M$10,Inputs!$J$37:$L$41,3,FALSE)</f>
        <v>0</v>
      </c>
      <c r="F38" s="165">
        <f>VLOOKUP(Inputs!$M$11,Inputs!$J$42:$L$46,3,FALSE)</f>
        <v>0</v>
      </c>
      <c r="G38" s="165">
        <f>VLOOKUP(Inputs!$M$12,Inputs!$J$47:$L$51,3,FALSE)</f>
        <v>0</v>
      </c>
      <c r="H38" s="334"/>
      <c r="I38" s="115"/>
      <c r="J38" s="120"/>
      <c r="K38" s="156"/>
      <c r="L38" s="157"/>
      <c r="M38" s="156"/>
    </row>
    <row r="39" spans="1:13" ht="20" customHeight="1">
      <c r="A39" s="178" t="s">
        <v>215</v>
      </c>
      <c r="B39" s="163"/>
      <c r="C39" s="163">
        <f>IF(Inputs!$N$3=4,$E39,IF(Inputs!$N$3=5,$F39,IF(Inputs!$N$3=6,$G39,"")))</f>
        <v>76.076899999999995</v>
      </c>
      <c r="D39" s="260"/>
      <c r="E39" s="260">
        <f>($E$26*0.03492)+(D38*-0.05092)+(E38*-0.06897)+((E38*$E$26)*-0.00289)+76.0769</f>
        <v>76.076899999999995</v>
      </c>
      <c r="F39" s="260">
        <f>(F26*0.03492)+(E38*-0.05092)+(F38*-0.06897)+((F38*F26)*-0.00289)+76.0769</f>
        <v>76.076899999999995</v>
      </c>
      <c r="G39" s="260">
        <f>(G26*0.03492)+(F38*-0.05092)+(G38*-0.06897)+((G38*G26)*-0.00289)+76.0769</f>
        <v>76.076899999999995</v>
      </c>
      <c r="H39" s="334"/>
      <c r="I39" s="115"/>
      <c r="J39" s="120"/>
      <c r="K39" s="156"/>
      <c r="L39" s="157"/>
      <c r="M39" s="156"/>
    </row>
    <row r="40" spans="1:13" ht="20" customHeight="1">
      <c r="A40" s="178" t="s">
        <v>216</v>
      </c>
      <c r="B40" s="163"/>
      <c r="C40" s="163">
        <f>IF(Inputs!$N$3=4,$E40,IF(Inputs!$N$3=5,$F40,IF(Inputs!$N$3=6,$G40,"")))</f>
        <v>-76.076899999999995</v>
      </c>
      <c r="D40" s="260"/>
      <c r="E40" s="260">
        <f>E37-E39</f>
        <v>-76.076899999999995</v>
      </c>
      <c r="F40" s="260">
        <f>F37-F39</f>
        <v>-76.076899999999995</v>
      </c>
      <c r="G40" s="260">
        <f>G37-G39</f>
        <v>-76.076899999999995</v>
      </c>
      <c r="H40" s="334"/>
      <c r="I40" s="115"/>
      <c r="J40" s="120"/>
      <c r="K40" s="156"/>
      <c r="L40" s="157"/>
      <c r="M40" s="156"/>
    </row>
    <row r="41" spans="1:13" ht="20" customHeight="1">
      <c r="A41" s="178" t="s">
        <v>219</v>
      </c>
      <c r="B41" s="163"/>
      <c r="C41" s="163">
        <f>IF(Inputs!$N$3=4,$E41,IF(Inputs!$N$3=5,$F41,IF(Inputs!$N$3=6,$G41,"")))</f>
        <v>0</v>
      </c>
      <c r="D41" s="260">
        <f>D12</f>
        <v>0</v>
      </c>
      <c r="E41" s="260">
        <f>E12</f>
        <v>0</v>
      </c>
      <c r="F41" s="260">
        <f>F12</f>
        <v>0</v>
      </c>
      <c r="G41" s="260">
        <f>G12</f>
        <v>0</v>
      </c>
      <c r="H41" s="334"/>
      <c r="I41" s="115"/>
      <c r="J41" s="120"/>
      <c r="K41" s="156"/>
      <c r="L41" s="156"/>
      <c r="M41" s="159"/>
    </row>
    <row r="42" spans="1:13" ht="20" customHeight="1">
      <c r="A42" s="178" t="s">
        <v>217</v>
      </c>
      <c r="B42" s="163"/>
      <c r="C42" s="163">
        <f>IF(Inputs!$N$3=4,$E42,IF(Inputs!$N$3=5,$F42,IF(Inputs!$N$3=6,$G42,"")))</f>
        <v>76.076899999999995</v>
      </c>
      <c r="D42" s="260"/>
      <c r="E42" s="260">
        <f>($E$26*0.03492)+(D41*-0.05092)+(E41*-0.06897)+((E41*$E$26)*-0.00289)+76.0769</f>
        <v>76.076899999999995</v>
      </c>
      <c r="F42" s="260">
        <f>(F26*0.03492)+(E41*-0.05092)+(F41*-0.06897)+((F41*F26)*-0.00289)+76.0769</f>
        <v>76.076899999999995</v>
      </c>
      <c r="G42" s="260">
        <f>(G26*0.03492)+(F41*-0.05092)+(G41*-0.06897)+((G41*G26)*-0.00289)+76.0769</f>
        <v>76.076899999999995</v>
      </c>
      <c r="H42" s="334"/>
      <c r="I42" s="16"/>
      <c r="J42" s="16"/>
      <c r="K42" s="161"/>
      <c r="L42" s="161"/>
      <c r="M42" s="159"/>
    </row>
    <row r="43" spans="1:13" ht="20" customHeight="1">
      <c r="A43" s="178" t="s">
        <v>218</v>
      </c>
      <c r="B43" s="163"/>
      <c r="C43" s="163">
        <f>IF(Inputs!$N$3=4,$E43,IF(Inputs!$N$3=5,$F43,IF(Inputs!$N$3=6,$G43,"")))</f>
        <v>0</v>
      </c>
      <c r="D43" s="260"/>
      <c r="E43" s="260">
        <f>E42+E40</f>
        <v>0</v>
      </c>
      <c r="F43" s="260">
        <f>F42+F40</f>
        <v>0</v>
      </c>
      <c r="G43" s="260">
        <f>G42+G40</f>
        <v>0</v>
      </c>
      <c r="H43" s="334"/>
      <c r="I43" s="16"/>
      <c r="J43" s="16"/>
      <c r="K43" s="161"/>
      <c r="L43" s="161"/>
      <c r="M43" s="159"/>
    </row>
    <row r="44" spans="1:13" ht="20" customHeight="1">
      <c r="A44" s="194"/>
      <c r="B44" s="90"/>
      <c r="C44" s="90"/>
      <c r="D44" s="90"/>
      <c r="E44" s="174"/>
      <c r="F44" s="174"/>
      <c r="G44" s="174"/>
      <c r="H44" s="119"/>
      <c r="I44" s="16"/>
      <c r="J44" s="16"/>
      <c r="K44" s="161"/>
      <c r="L44" s="161"/>
      <c r="M44" s="159"/>
    </row>
    <row r="45" spans="1:13" ht="20" hidden="1" customHeight="1">
      <c r="A45" s="175"/>
      <c r="B45" s="90"/>
      <c r="C45" s="90"/>
      <c r="D45" s="90"/>
      <c r="E45" s="173"/>
      <c r="F45" s="173"/>
      <c r="G45" s="173"/>
      <c r="H45" s="115"/>
      <c r="I45" s="90"/>
      <c r="J45" s="90"/>
      <c r="K45" s="154"/>
      <c r="L45" s="154"/>
      <c r="M45" s="155"/>
    </row>
    <row r="46" spans="1:13" ht="20" hidden="1" customHeight="1">
      <c r="A46" s="314"/>
      <c r="B46" s="115"/>
      <c r="C46" s="312" t="s">
        <v>42</v>
      </c>
      <c r="D46" s="312" t="s">
        <v>43</v>
      </c>
      <c r="E46" s="19"/>
      <c r="F46" s="17"/>
      <c r="G46" s="17"/>
      <c r="H46" s="17"/>
      <c r="I46" s="90"/>
      <c r="J46" s="90"/>
    </row>
    <row r="47" spans="1:13" ht="20" hidden="1" customHeight="1">
      <c r="A47" s="314"/>
      <c r="B47" s="312" t="s">
        <v>21</v>
      </c>
      <c r="C47" s="196">
        <f>Inputs!$N$7</f>
        <v>0</v>
      </c>
      <c r="D47" s="196">
        <f>Inputs!$O$7</f>
        <v>0</v>
      </c>
      <c r="E47" s="11"/>
      <c r="F47" s="17"/>
      <c r="G47" s="17"/>
      <c r="H47" s="17"/>
      <c r="I47" s="90"/>
      <c r="J47" s="90"/>
    </row>
    <row r="48" spans="1:13" ht="20" hidden="1" customHeight="1">
      <c r="A48" s="115"/>
      <c r="B48" s="312" t="s">
        <v>22</v>
      </c>
      <c r="C48" s="196">
        <f>Inputs!$N$8</f>
        <v>0</v>
      </c>
      <c r="D48" s="196">
        <f>Inputs!$O$8</f>
        <v>0</v>
      </c>
      <c r="E48" s="11"/>
      <c r="F48" s="17"/>
      <c r="G48" s="17"/>
      <c r="H48" s="17"/>
      <c r="I48" s="164"/>
      <c r="J48" s="164"/>
      <c r="K48" s="165"/>
      <c r="L48" s="165"/>
    </row>
    <row r="49" spans="1:13" ht="20" hidden="1" customHeight="1">
      <c r="A49" s="115"/>
      <c r="B49" s="312" t="s">
        <v>23</v>
      </c>
      <c r="C49" s="196">
        <f>Inputs!$N$9</f>
        <v>0</v>
      </c>
      <c r="D49" s="196">
        <f>Inputs!$O$9</f>
        <v>0</v>
      </c>
      <c r="E49" s="11"/>
      <c r="F49" s="17"/>
      <c r="G49" s="17"/>
      <c r="H49" s="17"/>
      <c r="I49" s="90"/>
      <c r="J49" s="90"/>
    </row>
    <row r="50" spans="1:13" ht="20" hidden="1" customHeight="1">
      <c r="A50" s="115"/>
      <c r="B50" s="312" t="s">
        <v>24</v>
      </c>
      <c r="C50" s="196">
        <f>Inputs!$N$10</f>
        <v>0</v>
      </c>
      <c r="D50" s="196">
        <f>Inputs!$O$10</f>
        <v>0</v>
      </c>
      <c r="E50" s="11"/>
      <c r="F50" s="17"/>
      <c r="G50" s="17"/>
      <c r="H50" s="17"/>
      <c r="I50" s="90"/>
      <c r="J50" s="90"/>
    </row>
    <row r="51" spans="1:13" ht="20" hidden="1" customHeight="1">
      <c r="A51" s="115"/>
      <c r="B51" s="312" t="s">
        <v>25</v>
      </c>
      <c r="C51" s="196">
        <f>Inputs!$N$11</f>
        <v>0</v>
      </c>
      <c r="D51" s="196">
        <f>Inputs!$O$11</f>
        <v>0</v>
      </c>
      <c r="E51" s="11"/>
      <c r="F51" s="17"/>
      <c r="G51" s="17"/>
      <c r="H51" s="17"/>
      <c r="I51" s="90"/>
      <c r="J51" s="90"/>
    </row>
    <row r="52" spans="1:13" ht="20" hidden="1" customHeight="1">
      <c r="A52" s="112"/>
      <c r="B52" s="312" t="s">
        <v>26</v>
      </c>
      <c r="C52" s="196">
        <f>Inputs!$N$12</f>
        <v>0</v>
      </c>
      <c r="D52" s="196">
        <f>Inputs!$O$12</f>
        <v>0</v>
      </c>
      <c r="E52" s="108"/>
      <c r="F52" s="112"/>
      <c r="G52" s="17"/>
      <c r="H52" s="17"/>
      <c r="I52" s="90"/>
      <c r="J52" s="90"/>
    </row>
    <row r="53" spans="1:13" ht="20" hidden="1" customHeight="1">
      <c r="E53" s="196"/>
      <c r="F53" s="112"/>
      <c r="G53" s="17"/>
      <c r="H53" s="17"/>
    </row>
    <row r="54" spans="1:13" s="5" customFormat="1" ht="20" customHeight="1">
      <c r="A54" s="198"/>
      <c r="B54" s="112"/>
      <c r="C54" s="197"/>
      <c r="D54" s="112"/>
      <c r="E54" s="345"/>
      <c r="F54" s="344"/>
      <c r="G54" s="344"/>
      <c r="H54"/>
      <c r="I54"/>
      <c r="J54"/>
      <c r="K54" s="61"/>
      <c r="L54" s="61"/>
      <c r="M54" s="125"/>
    </row>
    <row r="55" spans="1:13" s="5" customFormat="1" ht="20" customHeight="1">
      <c r="A55" s="198"/>
      <c r="B55" s="112"/>
      <c r="C55" s="197"/>
      <c r="D55" s="112"/>
      <c r="E55" s="112"/>
      <c r="F55" s="112"/>
      <c r="G55"/>
      <c r="H55"/>
      <c r="I55"/>
      <c r="J55"/>
      <c r="K55" s="61"/>
      <c r="L55" s="61"/>
      <c r="M55" s="125"/>
    </row>
    <row r="56" spans="1:13" ht="17">
      <c r="A56" s="198"/>
      <c r="B56" s="112"/>
      <c r="C56" s="197"/>
      <c r="D56" s="112"/>
      <c r="E56" s="112"/>
      <c r="F56" s="112"/>
    </row>
    <row r="57" spans="1:13" ht="17">
      <c r="A57" s="198"/>
      <c r="B57" s="112"/>
      <c r="C57" s="201"/>
      <c r="D57" s="112"/>
      <c r="E57" s="112"/>
      <c r="F57" s="112"/>
    </row>
    <row r="58" spans="1:13" ht="17">
      <c r="A58" s="198"/>
      <c r="C58" s="201"/>
    </row>
    <row r="59" spans="1:13" ht="17">
      <c r="A59" s="198"/>
      <c r="C59" s="201"/>
    </row>
    <row r="67" spans="4:5" ht="17">
      <c r="D67" s="344"/>
      <c r="E67" s="344"/>
    </row>
  </sheetData>
  <mergeCells count="5">
    <mergeCell ref="B2:G3"/>
    <mergeCell ref="I2:I3"/>
    <mergeCell ref="A2:A3"/>
    <mergeCell ref="J2:J3"/>
    <mergeCell ref="A1:J1"/>
  </mergeCells>
  <dataValidations disablePrompts="1" count="1">
    <dataValidation type="whole" errorStyle="warning" allowBlank="1" showInputMessage="1" showErrorMessage="1" errorTitle="Min and Max energy level warning" error="Please ensure your MIN and MAX NE (Kcal/lb) is correct. " sqref="J35:M35">
      <formula1>900</formula1>
      <formula2>1300</formula2>
    </dataValidation>
  </dataValidations>
  <pageMargins left="0.7" right="0.7" top="0.75" bottom="0.75" header="0.3" footer="0.3"/>
  <pageSetup scale="30" orientation="portrait"/>
  <ignoredErrors>
    <ignoredError sqref="F23:G26 G43 F31:G31 F33:G42" evalError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" id="{01D0B783-1A90-4979-894E-03F5F2B5E0FF}">
            <xm:f>Inputs!$N$3=6</xm:f>
            <x14:dxf>
              <font>
                <color theme="1"/>
              </font>
            </x14:dxf>
          </x14:cfRule>
          <xm:sqref>F4:G12 F14:G36</xm:sqref>
        </x14:conditionalFormatting>
        <x14:conditionalFormatting xmlns:xm="http://schemas.microsoft.com/office/excel/2006/main">
          <x14:cfRule type="expression" priority="9" id="{4060CC89-8227-425E-86FF-DD1C22CE6A01}">
            <xm:f>Inputs!$N$3=5</xm:f>
            <x14:dxf>
              <font>
                <color theme="1"/>
              </font>
            </x14:dxf>
          </x14:cfRule>
          <xm:sqref>F4:F12 F14:F36</xm:sqref>
        </x14:conditionalFormatting>
        <x14:conditionalFormatting xmlns:xm="http://schemas.microsoft.com/office/excel/2006/main">
          <x14:cfRule type="expression" priority="2" id="{9839DDB9-1E8C-4452-BC6C-F6D53260B720}">
            <xm:f>Inputs!$G$3=0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I18:J18</xm:sqref>
        </x14:conditionalFormatting>
        <x14:conditionalFormatting xmlns:xm="http://schemas.microsoft.com/office/excel/2006/main">
          <x14:cfRule type="expression" priority="1" id="{5AF26866-22E7-4F58-AA51-0883954C4A95}">
            <xm:f>Inputs!$G$4=0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I19:J19</xm:sqref>
        </x14:conditionalFormatting>
      </x14:conditionalFormattings>
    </ex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/>
  <dimension ref="A1:N56"/>
  <sheetViews>
    <sheetView showGridLines="0" zoomScale="70" zoomScaleNormal="70" zoomScaleSheetLayoutView="80" zoomScalePageLayoutView="70" workbookViewId="0">
      <selection activeCell="J23" sqref="J23"/>
    </sheetView>
  </sheetViews>
  <sheetFormatPr baseColWidth="10" defaultColWidth="7.33203125" defaultRowHeight="16" x14ac:dyDescent="0"/>
  <cols>
    <col min="1" max="1" width="80.33203125" style="90" customWidth="1"/>
    <col min="2" max="7" width="12.6640625" style="90" customWidth="1"/>
    <col min="8" max="8" width="4" style="90" customWidth="1"/>
    <col min="9" max="9" width="39.5" style="90" customWidth="1"/>
    <col min="10" max="10" width="9.6640625" style="90" bestFit="1" customWidth="1"/>
    <col min="11" max="12" width="7.33203125" style="90" hidden="1" customWidth="1"/>
    <col min="13" max="13" width="7.33203125" style="5" hidden="1" customWidth="1"/>
    <col min="14" max="14" width="7.33203125" style="90" customWidth="1"/>
    <col min="15" max="16384" width="7.33203125" style="90"/>
  </cols>
  <sheetData>
    <row r="1" spans="1:14" ht="40.25" customHeight="1" thickBot="1">
      <c r="A1" s="434" t="s">
        <v>301</v>
      </c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5"/>
    </row>
    <row r="2" spans="1:14" ht="20" customHeight="1" thickTop="1">
      <c r="A2" s="429" t="s">
        <v>3</v>
      </c>
      <c r="B2" s="429" t="s">
        <v>8</v>
      </c>
      <c r="C2" s="429"/>
      <c r="D2" s="429"/>
      <c r="E2" s="429"/>
      <c r="F2" s="429"/>
      <c r="G2" s="429"/>
      <c r="H2" s="431" t="s">
        <v>220</v>
      </c>
      <c r="I2" s="431"/>
      <c r="J2" s="431" t="s">
        <v>122</v>
      </c>
      <c r="K2" s="318"/>
      <c r="L2" s="318"/>
      <c r="M2" s="318"/>
    </row>
    <row r="3" spans="1:14" ht="20" customHeight="1">
      <c r="A3" s="430"/>
      <c r="B3" s="430"/>
      <c r="C3" s="430"/>
      <c r="D3" s="430"/>
      <c r="E3" s="430"/>
      <c r="F3" s="430"/>
      <c r="G3" s="430"/>
      <c r="H3" s="432"/>
      <c r="I3" s="432"/>
      <c r="J3" s="432"/>
      <c r="K3" s="319"/>
      <c r="L3" s="319"/>
      <c r="M3" s="319"/>
    </row>
    <row r="4" spans="1:14" ht="17">
      <c r="A4" s="317"/>
      <c r="B4" s="333">
        <v>1</v>
      </c>
      <c r="C4" s="333">
        <v>2</v>
      </c>
      <c r="D4" s="333">
        <v>3</v>
      </c>
      <c r="E4" s="333">
        <v>4</v>
      </c>
      <c r="F4" s="146">
        <v>5</v>
      </c>
      <c r="G4" s="146">
        <v>6</v>
      </c>
      <c r="H4" s="313"/>
      <c r="I4" s="312"/>
      <c r="J4" s="312"/>
      <c r="K4" s="177" t="s">
        <v>92</v>
      </c>
      <c r="L4" s="177" t="s">
        <v>93</v>
      </c>
      <c r="M4" s="177" t="s">
        <v>94</v>
      </c>
    </row>
    <row r="5" spans="1:14" ht="17" hidden="1">
      <c r="A5" s="178" t="s">
        <v>154</v>
      </c>
      <c r="B5" s="163">
        <f>Inputs!$K$7</f>
        <v>0</v>
      </c>
      <c r="C5" s="163" t="e">
        <f>B6</f>
        <v>#DIV/0!</v>
      </c>
      <c r="D5" s="163" t="e">
        <f>C6</f>
        <v>#DIV/0!</v>
      </c>
      <c r="E5" s="163" t="e">
        <f>D6</f>
        <v>#DIV/0!</v>
      </c>
      <c r="F5" s="260" t="e">
        <f>E6</f>
        <v>#DIV/0!</v>
      </c>
      <c r="G5" s="260" t="e">
        <f>F6</f>
        <v>#DIV/0!</v>
      </c>
      <c r="H5" s="107"/>
      <c r="N5" s="320"/>
    </row>
    <row r="6" spans="1:14" ht="17" hidden="1">
      <c r="A6" s="178" t="s">
        <v>155</v>
      </c>
      <c r="B6" s="164" t="e">
        <f>(((B20*B26)/1000)*2.2046)+B5</f>
        <v>#DIV/0!</v>
      </c>
      <c r="C6" s="164" t="e">
        <f t="shared" ref="C6:F6" si="0">(((C20*C26)/1000)*2.2046)+C5</f>
        <v>#DIV/0!</v>
      </c>
      <c r="D6" s="164" t="e">
        <f t="shared" si="0"/>
        <v>#DIV/0!</v>
      </c>
      <c r="E6" s="164" t="e">
        <f t="shared" si="0"/>
        <v>#DIV/0!</v>
      </c>
      <c r="F6" s="165" t="e">
        <f t="shared" si="0"/>
        <v>#DIV/0!</v>
      </c>
      <c r="G6" s="165" t="e">
        <f>(((G20*G26)/1000)*2.2046)+G5</f>
        <v>#DIV/0!</v>
      </c>
      <c r="H6" s="108"/>
      <c r="M6" s="90"/>
      <c r="N6" s="320"/>
    </row>
    <row r="7" spans="1:14" ht="17">
      <c r="A7" s="178" t="s">
        <v>283</v>
      </c>
      <c r="B7" s="164">
        <f>B5/2.2046</f>
        <v>0</v>
      </c>
      <c r="C7" s="164" t="e">
        <f t="shared" ref="C7:G7" si="1">C5/2.2046</f>
        <v>#DIV/0!</v>
      </c>
      <c r="D7" s="164" t="e">
        <f t="shared" si="1"/>
        <v>#DIV/0!</v>
      </c>
      <c r="E7" s="164" t="e">
        <f t="shared" si="1"/>
        <v>#DIV/0!</v>
      </c>
      <c r="F7" s="165" t="e">
        <f t="shared" si="1"/>
        <v>#DIV/0!</v>
      </c>
      <c r="G7" s="165" t="e">
        <f t="shared" si="1"/>
        <v>#DIV/0!</v>
      </c>
      <c r="H7" s="108"/>
      <c r="I7" s="373" t="s">
        <v>282</v>
      </c>
      <c r="J7" s="122" t="e">
        <f>IF(Inputs!$N$3=6,M7,IF(Inputs!$N$3=5,L7,IF(Inputs!$N$3=4,K7,"")))</f>
        <v>#DIV/0!</v>
      </c>
      <c r="K7" s="172" t="e">
        <f>(SUMPRODUCT(B20:E20,B26:E26)/SUM(B26:E26))/1000</f>
        <v>#DIV/0!</v>
      </c>
      <c r="L7" s="172" t="e">
        <f>(SUMPRODUCT(B20:F20,B26:F26)/SUM(B26:F26))/1000</f>
        <v>#DIV/0!</v>
      </c>
      <c r="M7" s="172" t="e">
        <f>(SUMPRODUCT(B20:G20,B26:G26)/SUM(B26:G26))/1000</f>
        <v>#DIV/0!</v>
      </c>
      <c r="N7" s="320"/>
    </row>
    <row r="8" spans="1:14" ht="17">
      <c r="A8" s="178" t="s">
        <v>284</v>
      </c>
      <c r="B8" s="164" t="e">
        <f t="shared" ref="B8:G8" si="2">B6/2.2046</f>
        <v>#DIV/0!</v>
      </c>
      <c r="C8" s="164" t="e">
        <f t="shared" si="2"/>
        <v>#DIV/0!</v>
      </c>
      <c r="D8" s="164" t="e">
        <f t="shared" si="2"/>
        <v>#DIV/0!</v>
      </c>
      <c r="E8" s="164" t="e">
        <f t="shared" si="2"/>
        <v>#DIV/0!</v>
      </c>
      <c r="F8" s="165" t="e">
        <f t="shared" si="2"/>
        <v>#DIV/0!</v>
      </c>
      <c r="G8" s="165" t="e">
        <f t="shared" si="2"/>
        <v>#DIV/0!</v>
      </c>
      <c r="H8" s="108"/>
      <c r="I8" s="315" t="s">
        <v>16</v>
      </c>
      <c r="J8" s="122" t="e">
        <f>IF(Inputs!$N$3=6,M8,IF(Inputs!$N$3=5,L8,IF(Inputs!$N$3=4,K8,"")))</f>
        <v>#DIV/0!</v>
      </c>
      <c r="K8" s="172" t="e">
        <f>SUM($B$30:$E$30)/SUM($B$28:$E$28)</f>
        <v>#DIV/0!</v>
      </c>
      <c r="L8" s="172" t="e">
        <f>SUM($B$30:$F$30)/SUM($B$28:$F$28)</f>
        <v>#DIV/0!</v>
      </c>
      <c r="M8" s="172" t="e">
        <f>SUM($B$30:$G$30)/SUM($B$28:$G$28)</f>
        <v>#DIV/0!</v>
      </c>
      <c r="N8" s="320"/>
    </row>
    <row r="9" spans="1:14" ht="17" hidden="1">
      <c r="A9" s="178" t="s">
        <v>156</v>
      </c>
      <c r="B9" s="166">
        <v>1083</v>
      </c>
      <c r="C9" s="166">
        <v>1097</v>
      </c>
      <c r="D9" s="166">
        <v>1110</v>
      </c>
      <c r="E9" s="166">
        <v>1119</v>
      </c>
      <c r="F9" s="261">
        <v>1126</v>
      </c>
      <c r="G9" s="261">
        <v>1149.9999994969594</v>
      </c>
      <c r="H9" s="110"/>
      <c r="M9" s="90"/>
      <c r="N9" s="320"/>
    </row>
    <row r="10" spans="1:14" ht="17">
      <c r="A10" s="178" t="s">
        <v>285</v>
      </c>
      <c r="B10" s="166">
        <f>B9*2.2046</f>
        <v>2387.5817999999999</v>
      </c>
      <c r="C10" s="166">
        <f t="shared" ref="C10:G10" si="3">C9*2.2046</f>
        <v>2418.4462000000003</v>
      </c>
      <c r="D10" s="166">
        <f t="shared" si="3"/>
        <v>2447.1060000000002</v>
      </c>
      <c r="E10" s="166">
        <f t="shared" si="3"/>
        <v>2466.9474</v>
      </c>
      <c r="F10" s="261">
        <f t="shared" si="3"/>
        <v>2482.3796000000002</v>
      </c>
      <c r="G10" s="261">
        <f t="shared" si="3"/>
        <v>2535.2899988909967</v>
      </c>
      <c r="H10" s="110"/>
      <c r="I10" s="373" t="s">
        <v>281</v>
      </c>
      <c r="J10" s="122" t="e">
        <f>IF(Inputs!$N$3=6,M10,IF(Inputs!$N$3=5,L10,IF(Inputs!$N$3=4,K10,"")))</f>
        <v>#DIV/0!</v>
      </c>
      <c r="K10" s="174" t="e">
        <f>K7*K8</f>
        <v>#DIV/0!</v>
      </c>
      <c r="L10" s="174" t="e">
        <f>L7*L8</f>
        <v>#DIV/0!</v>
      </c>
      <c r="M10" s="174" t="e">
        <f>M7*M8</f>
        <v>#DIV/0!</v>
      </c>
      <c r="N10" s="320"/>
    </row>
    <row r="11" spans="1:14" ht="20" customHeight="1">
      <c r="A11" s="178" t="s">
        <v>288</v>
      </c>
      <c r="B11" s="164">
        <f>(IF(B9&gt;=Inputs!$X$9,Inputs!$Z$9*Fixed_Time!B9+Inputs!$AA$9,IF(Fixed_Time!B9&gt;=Inputs!$X$8,Inputs!$Z$8*Fixed_Time!B9+Inputs!$AA$8,IF(Fixed_Time!B9&gt;=Inputs!$X$7,Inputs!$Z$7*Fixed_Time!B9+Inputs!$AA$7,IF(Fixed_Time!B9&gt;=Inputs!$X$6,Inputs!$Z$6*Fixed_Time!B9+Inputs!$AA$6,IF(Fixed_Time!B9&gt;=Inputs!$X$5,Inputs!$Z$5*Fixed_Time!B9+Inputs!$AA$5,0))))))/0.907</f>
        <v>0</v>
      </c>
      <c r="C11" s="164">
        <f>IF(C9&gt;=Inputs!$X$14,Inputs!$Z$14*Fixed_Time!C9+Inputs!$AA$14,IF(Fixed_Time!C9&gt;=Inputs!$X$13,Inputs!$Z$13*Fixed_Time!C9+Inputs!$AA$13,IF(Fixed_Time!C9&gt;=Inputs!$X$12,Inputs!$Z$12*Fixed_Time!C9+Inputs!$AA$12,IF(Fixed_Time!C9&gt;=Inputs!$X$11,Inputs!$Z$11*Fixed_Time!C9+Inputs!$AA$11,IF(Fixed_Time!C9&gt;=Inputs!$X$10,Inputs!$Z$10*Fixed_Time!C9+Inputs!$AA$10,0)))))/0.907</f>
        <v>0</v>
      </c>
      <c r="D11" s="164">
        <f>IF(D9&gt;=Inputs!$X$20,Inputs!$Z$20*Fixed_Time!D9+Inputs!$AA$20,IF(Fixed_Time!D9&gt;=Inputs!$X$19,Inputs!$Z$19*Fixed_Time!D9+Inputs!$AA$19,IF(Fixed_Time!D9&gt;=Inputs!$X$18,Inputs!$Z$18*Fixed_Time!D9+Inputs!$AA$18,IF(Fixed_Time!D9&gt;=Inputs!$X$17,Inputs!$Z$17*Fixed_Time!D9+Inputs!$AA$17,IF(Fixed_Time!D9&gt;=Inputs!$X$16,Inputs!$Z$16*Fixed_Time!D9+Inputs!$AA$16,0)))))/0.907</f>
        <v>0</v>
      </c>
      <c r="E11" s="164">
        <f>IF(E9&gt;=Inputs!$X$25,Inputs!$Z$25*Fixed_Time!E9+Inputs!$AA$25,IF(Fixed_Time!E9&gt;=Inputs!$X$24,Inputs!$Z$24*Fixed_Time!E9+Inputs!$AA$24,IF(Fixed_Time!E9&gt;=Inputs!$X$23,Inputs!$Z$23*Fixed_Time!E9+Inputs!$AA$23,IF(Fixed_Time!E9&gt;=Inputs!$X$22,Inputs!$Z$22*Fixed_Time!E9+Inputs!$AA$22,IF(Fixed_Time!E9&gt;=Inputs!$X$21,Inputs!$Z$21*Fixed_Time!E9+Inputs!$AA$21,0)))))/0.907</f>
        <v>0</v>
      </c>
      <c r="F11" s="165">
        <f>IF(F9&gt;=Inputs!$X$30,Inputs!$Z$30*Fixed_Time!F9+Inputs!$AA$30,IF(Fixed_Time!F9&gt;=Inputs!$X$29,Inputs!$Z$29*Fixed_Time!F9+Inputs!$AA$29,IF(Fixed_Time!F9&gt;=Inputs!$X$28,Inputs!$Z$28*Fixed_Time!F9+Inputs!$AA$28,IF(Fixed_Time!F9&gt;=Inputs!$X$27,Inputs!$Z$27*Fixed_Time!F9+Inputs!$AA$27,IF(Fixed_Time!F9&gt;=Inputs!$X$26,Inputs!$Z$26*Fixed_Time!F9+Inputs!$AA$26,0)))))/0.907</f>
        <v>0</v>
      </c>
      <c r="G11" s="165">
        <f>IF(G9&gt;=Inputs!$X$35,Inputs!$Z$35*Fixed_Time!G9+Inputs!$AA$35,IF(Fixed_Time!G9&gt;=Inputs!$X$34,Inputs!$Z$34*Fixed_Time!G9+Inputs!$AA$34,IF(Fixed_Time!G9&gt;=Inputs!$X$33,Inputs!$Z$33*Fixed_Time!G9+Inputs!$AA$33,IF(Fixed_Time!G9&gt;=Inputs!$X$32,Inputs!$Z$32*Fixed_Time!G9+Inputs!$AA$32,IF(Fixed_Time!G9&gt;=Inputs!$X$31,Inputs!$Z$31*Fixed_Time!G9+Inputs!$AA$31,0)))))/0.907</f>
        <v>0</v>
      </c>
      <c r="H11" s="108"/>
      <c r="I11" s="315" t="s">
        <v>38</v>
      </c>
      <c r="J11" s="122" t="e">
        <f>IF(Inputs!$N$3=6,M11,IF(Inputs!$N$3=5,L11,IF(Inputs!$N$3=4,K11,"")))</f>
        <v>#DIV/0!</v>
      </c>
      <c r="K11" s="172" t="e">
        <f>SUM(B26:E26)</f>
        <v>#DIV/0!</v>
      </c>
      <c r="L11" s="172" t="e">
        <f>SUM(B26:F26)</f>
        <v>#DIV/0!</v>
      </c>
      <c r="M11" s="172" t="e">
        <f>SUM(B26:G26)</f>
        <v>#DIV/0!</v>
      </c>
      <c r="N11" s="320"/>
    </row>
    <row r="12" spans="1:14" ht="20" customHeight="1">
      <c r="A12" s="178" t="s">
        <v>158</v>
      </c>
      <c r="B12" s="232" t="s">
        <v>171</v>
      </c>
      <c r="C12" s="232" t="s">
        <v>171</v>
      </c>
      <c r="D12" s="164">
        <f>IF(Inputs!$AO$13&gt;Inputs!$AO$12,Inputs!$AJ$13*Fixed_Time!D9^3+Inputs!$AK$13*Fixed_Time!D9^2+Inputs!$AL$13*Fixed_Time!D9+Inputs!$AM$13,IF(Inputs!$AO$12&gt;Inputs!$AO$11,Inputs!$AJ$12*Fixed_Time!D9^2+Inputs!$AK$12*Fixed_Time!D9+Inputs!$AL$12,IF(Inputs!$AO$11&gt;Inputs!$AO$13,Inputs!$AJ$11*Fixed_Time!D9+Inputs!$AK$11,0)))</f>
        <v>0</v>
      </c>
      <c r="E12" s="164">
        <f>IF(Inputs!$AO$17&gt;Inputs!$AO$16,Inputs!$AJ$17*Fixed_Time!E9^3+Inputs!$AK$17*Fixed_Time!E9^2+Inputs!$AL$17*Fixed_Time!E9+Inputs!$AM$17,IF(Inputs!$AO$16&gt;Inputs!$AO$14,Inputs!$AJ$16*Fixed_Time!E9^2+Inputs!$AK$16*Fixed_Time!E9+Inputs!$AL$16,IF(Inputs!$AO$14&gt;Inputs!$AO$17,Inputs!$AJ$14*Fixed_Time!E9+Inputs!$AK$14,0)))</f>
        <v>0</v>
      </c>
      <c r="F12" s="165">
        <f>IF(Inputs!$AO$20&gt;Inputs!$AO$19,Inputs!$AJ$20*Fixed_Time!F9^3+Inputs!$AK$20*Fixed_Time!F9^2+Inputs!$AL$20*Fixed_Time!F9+Inputs!$AM$20,IF(Inputs!$AO$19&gt;Inputs!$AO$18,Inputs!$AJ$19*Fixed_Time!F9^2+Inputs!$AK$19*Fixed_Time!F9+Inputs!$AL$19,IF(Inputs!$AO$18&gt;Inputs!$AO$20,Inputs!$AJ$105*Fixed_Time!F9+Inputs!$AK$18,0)))</f>
        <v>0</v>
      </c>
      <c r="G12" s="165">
        <f>IF(Inputs!$AO$23&gt;Inputs!$AO$22,Inputs!$AJ$23*Fixed_Time!G9^3+Inputs!$AK$23*Fixed_Time!G9^2+Inputs!$AL$23*Fixed_Time!G9+Inputs!$AM$23,IF(Inputs!$AO$22&gt;Inputs!$AO$21,Inputs!$AJ$22*Fixed_Time!G9^2+Inputs!$AK$22*Fixed_Time!G9+Inputs!$AL$22,IF(Inputs!$AO$21&gt;Inputs!$AO$23,Inputs!$AJ$21*Fixed_Time!G9+Inputs!$AK$21,0)))</f>
        <v>0</v>
      </c>
      <c r="H12" s="108"/>
      <c r="I12" s="373" t="s">
        <v>279</v>
      </c>
      <c r="J12" s="126" t="e">
        <f>IF(Inputs!$N$3=6,M12,IF(Inputs!$N$3=5,L12,IF(Inputs!$N$3=4,K12,"")))</f>
        <v>#DIV/0!</v>
      </c>
      <c r="K12" s="172" t="e">
        <f>SUM(B30:E30)</f>
        <v>#DIV/0!</v>
      </c>
      <c r="L12" s="172" t="e">
        <f>SUM(B30:F30)</f>
        <v>#DIV/0!</v>
      </c>
      <c r="M12" s="172" t="e">
        <f>SUM(B30:G30)</f>
        <v>#DIV/0!</v>
      </c>
      <c r="N12" s="320"/>
    </row>
    <row r="13" spans="1:14" ht="20" customHeight="1">
      <c r="A13" s="182" t="s">
        <v>86</v>
      </c>
      <c r="B13" s="167">
        <f>IF(Inputs!$BR$7&gt;Inputs!$BR$6,Inputs!$BM$7*Fixed_Time!B9^3+Inputs!$BN$7*Fixed_Time!B9^2+Inputs!$BO$7*Fixed_Time!B9+Inputs!$BP$7,IF(Inputs!$BR$6&gt;Inputs!$BR$5,Inputs!$BM$6*Fixed_Time!B9^2+Inputs!$BN$6*Fixed_Time!B9+Inputs!$BO$6,IF(Inputs!$BR$5&gt;Inputs!$BR$7,Inputs!$BM$5*Fixed_Time!B9+Inputs!$BN$5,0)))</f>
        <v>0</v>
      </c>
      <c r="C13" s="167">
        <f>IF(Inputs!$BR$10&gt;Inputs!$BR$9,Inputs!$BM$10*Fixed_Time!C9^3+Inputs!$BN$10*Fixed_Time!C9^2+Inputs!$BO$10*Fixed_Time!C9+Inputs!$BP$10,IF(Inputs!$BR$6&gt;Inputs!$BR$9,Inputs!$BM$8*Fixed_Time!C9^2+Inputs!$BN$9*Fixed_Time!C9+Inputs!$BO$9,IF(Inputs!$BR$9&gt;Inputs!$BR$7,Inputs!$BM$10*Fixed_Time!C9+Inputs!$BN$10,0)))</f>
        <v>0</v>
      </c>
      <c r="D13" s="167">
        <f>IF(Inputs!$BR$13&gt;Inputs!$BR$12,Inputs!$BM$13*Fixed_Time!D9^3+Inputs!$BN$13*Fixed_Time!D9^2+Inputs!$BO$13*Fixed_Time!D9+Inputs!$BP$13,IF(Inputs!$BR$12&gt;Inputs!$BR$11,Inputs!$BM$12*Fixed_Time!D9^2+Inputs!$BN$12*Fixed_Time!D9+Inputs!$BO$12,IF(Inputs!$BR$11&gt;Inputs!$BR$13,Inputs!$BM$5*Fixed_Time!D9+Inputs!$BN$11,0)))</f>
        <v>0</v>
      </c>
      <c r="E13" s="167">
        <f>IF(Inputs!$BR$17&gt;Inputs!$BR$16,Inputs!$BM$17*Fixed_Time!E9^3+Inputs!$BN$17*Fixed_Time!E9^2+Inputs!$BO$17*Fixed_Time!E9+Inputs!$BP$17,IF(Inputs!$BR$16&gt;Inputs!$BR$14,Inputs!$BM$16*Fixed_Time!E9^2+Inputs!$BN$16*Fixed_Time!E9+Inputs!$BO$16,IF(Inputs!$BR$14&gt;Inputs!$BR$17,Inputs!$BM$14*Fixed_Time!E9+Inputs!$BN$14,0)))</f>
        <v>0</v>
      </c>
      <c r="F13" s="167">
        <f>IF(Inputs!$BR$20&gt;Inputs!$BR$19,Inputs!$BM$20*Fixed_Time!F9^3+Inputs!$BN$20*Fixed_Time!F9^2+Inputs!$BO$20*Fixed_Time!F9+Inputs!$BP$20,IF(Inputs!$BR$19&gt;Inputs!$BR$18,Inputs!$BM$19*Fixed_Time!F9^2+Inputs!$BN$19*Fixed_Time!F9+Inputs!$BO$19,IF(Inputs!$BR$18&gt;Inputs!$BR$20,Inputs!$BM$18*Fixed_Time!F9+Inputs!$BN$18,0)))</f>
        <v>0</v>
      </c>
      <c r="G13" s="167">
        <f>IF(Inputs!$BR$23&gt;Inputs!$BR$22,Inputs!$BM$23*Fixed_Time!G9^3+Inputs!$BN$23*Fixed_Time!G9^2+Inputs!$BO$23*Fixed_Time!G9+Inputs!$BP$23,IF(Inputs!$BR$22&gt;Inputs!$BR$21,Inputs!$BM$22*Fixed_Time!G9^2+Inputs!$BN$22*Fixed_Time!G9+Inputs!$BO$22,IF(Inputs!$BR$21&gt;Inputs!$BR$23,Inputs!$BM$21*Fixed_Time!G9+Inputs!$BN$21,0)))</f>
        <v>0</v>
      </c>
      <c r="H13" s="108"/>
      <c r="I13" s="315" t="s">
        <v>39</v>
      </c>
      <c r="J13" s="122" t="e">
        <f>IF(Inputs!$N$3=6,M13,IF(Inputs!$N$3=5,L13,IF(Inputs!$N$3=4,K13,"")))</f>
        <v>#DIV/0!</v>
      </c>
      <c r="K13" s="172" t="e">
        <f>SUM(B27:E27)</f>
        <v>#DIV/0!</v>
      </c>
      <c r="L13" s="172" t="e">
        <f>SUM(B27:F27)</f>
        <v>#DIV/0!</v>
      </c>
      <c r="M13" s="172" t="e">
        <f>SUM(B27:G27)</f>
        <v>#DIV/0!</v>
      </c>
      <c r="N13" s="320"/>
    </row>
    <row r="14" spans="1:14" ht="20" customHeight="1">
      <c r="A14" s="178" t="s">
        <v>159</v>
      </c>
      <c r="B14" s="193">
        <f>IF(Inputs!$H$19=1,((0.1135*(B9*2.2046))+(8.8142*(AVERAGE(Inputs!$K$7:$L$7)/2.2046))-(0.05068*(AVERAGE(Inputs!$K$7:$L$7)/2.2046))*(AVERAGE(Inputs!$K$7:$L$7)/2.2046)+275.99),IF(Inputs!$H$19=2,((-0.1004*(B9*2.2046))+(1.6744*(AVERAGE(Inputs!$K$7:$L$7)/2.2046))-(289.56*B13)+(0.1918*(B9*2.2046*B13))+836.56),0))</f>
        <v>546.98053430000004</v>
      </c>
      <c r="C14" s="193">
        <f>IF(Inputs!$H$19=1,((0.1135*(C9*2.2046))+(8.8142*(AVERAGE(Inputs!$K$8:$L$8)/2.2046))-(0.05068*(AVERAGE(Inputs!$K$8:$L$8)/2.2046))*(AVERAGE(Inputs!$K$8:$L$8)/2.2046)+275.99),IF(Inputs!$H$19=2,((-0.1004*(C9*2.2046))+(1.6744*(AVERAGE(Inputs!$K$8:$L$8)/2.2046))-(289.56*C13)+(0.1918*(C9*2.2046*C13))+836.56),0))</f>
        <v>550.48364370000013</v>
      </c>
      <c r="D14" s="193">
        <f>IF(Inputs!$H$19=1,((0.1135*(D9*2.2046))+(8.8142*(AVERAGE(Inputs!$K$9:$L$9)/2.2046))-(0.05068*(AVERAGE(Inputs!$K$9:$L$9)/2.2046))*(AVERAGE(Inputs!$K$9:$L$9)/2.2046)+275.99),IF(Inputs!$H$19=2,((-0.1004*(D9*2.2046))+(1.6744*(AVERAGE(Inputs!$K$9:$L$9)/2.2046))-(289.56*D13)+(0.1918*(D9*2.2046*D13))+836.56),0))</f>
        <v>553.73653100000001</v>
      </c>
      <c r="E14" s="193">
        <f>IF(Inputs!$H$19=1,((0.1135*(E9*2.2046))+(8.8142*(AVERAGE(Inputs!$K$10:$L$10)/2.2046))-(0.05068*(AVERAGE(Inputs!$K$10:$L$10)/2.2046))*(AVERAGE(Inputs!$K$10:$L$10)/2.2046)+275.99),IF(Inputs!$H$19=2,((-0.1004*(E9*2.2046))+(1.6744*(AVERAGE(Inputs!$K$10:$L$10)/2.2046))-(289.56*E13)+(0.1918*(E9*2.2046*E13))+836.56),0))</f>
        <v>555.9885299</v>
      </c>
      <c r="F14" s="262">
        <f>IF(Inputs!$H$19=1,((0.1135*(F9*2.2046))+(8.8142*(AVERAGE(Inputs!$K$11:$L$11)/2.2046))-(0.05068*(AVERAGE(Inputs!$K$11:$L$11)/2.2046))*(AVERAGE(Inputs!$K$11:$L$11)/2.2046)+275.99),IF(Inputs!$H$19=2,((-0.1004*(F9*2.2046))+(1.6744*(AVERAGE(Inputs!$K$11:$L$11)/2.2046))-(289.56*F13)+(0.1918*(F9*2.2046*F13))+836.56),0))</f>
        <v>557.74008460000005</v>
      </c>
      <c r="G14" s="262">
        <f>IF(Inputs!$H$19=1,((0.1135*(G9*2.2046))+(8.8142*(AVERAGE(Inputs!$K$12:$L$12)/2.2046))-(0.05068*(AVERAGE(Inputs!$K$12:$L$12)/2.2046))*(AVERAGE(Inputs!$K$12:$L$12)/2.2046)+275.99),IF(Inputs!$H$19=2,((-0.1004*(G9*2.2046))+(1.6744*(AVERAGE(Inputs!$K$12:$L$12)/2.2046))-(289.56*G13)+(0.1918*(G9*2.2046*G13))+836.56),0))</f>
        <v>563.74541487412807</v>
      </c>
      <c r="H14" s="108"/>
      <c r="I14" s="315" t="s">
        <v>40</v>
      </c>
      <c r="J14" s="122" t="e">
        <f>IF(Inputs!$N$3=6,M14,IF(Inputs!$N$3=5,L14,IF(Inputs!$N$3=4,K14,"")))</f>
        <v>#DIV/0!</v>
      </c>
      <c r="K14" s="172" t="e">
        <f>(SUM($B$27:$E$27))+(SUM($B$26:$E$26)*Inputs!$G$6)</f>
        <v>#DIV/0!</v>
      </c>
      <c r="L14" s="172" t="e">
        <f>(SUM($B$27:$F$27))+(SUM($B$26:$F$26)*Inputs!$G$6)</f>
        <v>#DIV/0!</v>
      </c>
      <c r="M14" s="172" t="e">
        <f>(SUM($B$27:$G$27))+(SUM($B$26:$G$26)*Inputs!$G$6)</f>
        <v>#DIV/0!</v>
      </c>
      <c r="N14" s="320"/>
    </row>
    <row r="15" spans="1:14" ht="20" customHeight="1">
      <c r="A15" s="178" t="s">
        <v>160</v>
      </c>
      <c r="B15" s="193">
        <f>IF(Inputs!$H$19=1,((0.1135*(Inputs!$M$7*2.2046))+(8.8142*(B17/2.2046))-(0.05068*(B17/2.2046))*(B17/2.2046)+275.99), IF(Inputs!$H$19=2,((-0.1004*(Inputs!$M$8*2.2046))+(1.6744*(B17/2.2046))-(289.56*B13)+0.1918*(Inputs!$M$8*2.2046*B13)+836.56),0))</f>
        <v>275.99</v>
      </c>
      <c r="C15" s="193">
        <f>IF(Inputs!$H$19=1,((0.1135*(Inputs!$M$8*2.2046))+(8.8142*(C17/2.2046))-(0.05068*(C17/2.2046))*(C17/2.2046)+275.99), IF(Inputs!$H$19=2,((-0.1004*(Inputs!$M$8*2.2046))+(1.6744*(C17/2.2046))-(289.56*C13)+0.1918*(Inputs!$M$8*2.2046*C13)+836.56),0))</f>
        <v>275.99</v>
      </c>
      <c r="D15" s="193">
        <f>IF(Inputs!$H$19=1,((0.1135*(Inputs!$M$9*2.2046))+(8.8142*(D17/2.2046))-(0.05068*(D17/2.2046))*(D17/2.2046)+275.99), IF(Inputs!$H$19=2,((-0.1004*(Inputs!$M$8*2.2046))+(1.6744*(D17/2.2046))-(289.56*D13)+0.1918*(Inputs!$M$8*2.2046*D13)+836.56),0))</f>
        <v>275.99</v>
      </c>
      <c r="E15" s="193">
        <f>IF(Inputs!$H$19=1,((0.1135*(Inputs!$M$10*2.2046))+(8.8142*(E17/2.2046))-(0.05068*(E17/2.2046))*(E17/2.2046)+275.99), IF(Inputs!$H$19=2,((-0.1004*(Inputs!$M$8*2.2046))+(1.6744*(E17/2.2046))-(289.56*E13)+0.1918*(Inputs!$M$8*2.2046*E13)+836.56),0))</f>
        <v>275.99</v>
      </c>
      <c r="F15" s="262">
        <f>IF(Inputs!$H$19=1,((0.1135*(Inputs!$M$12*2.2046))+(8.8142*(F17/2.2046))-(0.05068*(F17/2.2046))*(F17/2.2046)+275.99), IF(Inputs!$H$19=2,((-0.1004*(Inputs!$M$8*2.2046))+(1.6744*(F17/2.2046))-(289.56*F13)+0.1918*(Inputs!$M$8*2.2046*F13)+836.56),0))</f>
        <v>275.99</v>
      </c>
      <c r="G15" s="262">
        <f>IF(Inputs!$H$19=1,((0.1135*(Inputs!$M$12*2.2046))+(8.8142*(G17/2.2046))-(0.05068*(G17/2.2046))*(G17/2.2046)+275.99), IF(Inputs!$H$19=2,((-0.1004*(Inputs!$M$8*2.2046))+(1.6744*(G17/2.2046))-(289.56*G13)+0.1918*(Inputs!$M$8*2.2046*G13)+836.56),0))</f>
        <v>275.99</v>
      </c>
      <c r="H15" s="142"/>
      <c r="I15" s="315" t="s">
        <v>142</v>
      </c>
      <c r="J15" s="122" t="e">
        <f>IF(Inputs!$N$3=6,M15,IF(Inputs!$N$3=5,L15,IF(Inputs!$N$3=4,K15,"")))</f>
        <v>#DIV/0!</v>
      </c>
      <c r="K15" s="172" t="e">
        <f>IF(Inputs!$H$13=1,((SUM($B$28:$E$28))+Inputs!$K$7/2.2046)*Inputs!$G$3*2.2046,((SUM($B$28:$E$28))+Inputs!$K$7/2.2046)*(Inputs!$G$9/100)*(Inputs!$G$4*2.2046))</f>
        <v>#DIV/0!</v>
      </c>
      <c r="L15" s="172" t="e">
        <f>IF(Inputs!$H$13=1,((SUM($B$28:$F$28))+Inputs!$K$7/2.2046)*Inputs!$G$3*2.2046,((SUM($B$28:$F$28))+Inputs!$K$7/2.2046)*(Inputs!$G$9/100)*(Inputs!$G$4*2.2046))</f>
        <v>#DIV/0!</v>
      </c>
      <c r="M15" s="172" t="e">
        <f>IF(Inputs!$H$13=1,((SUM($B$28:$G$28))+Inputs!$K$7/2.2046)*Inputs!$G$3*2.2046,((SUM($B$28:$G$28))+Inputs!$K$7/2.2046)*(Inputs!$G$9/100)*(Inputs!$G$4*2.2046))</f>
        <v>#DIV/0!</v>
      </c>
      <c r="N15" s="321"/>
    </row>
    <row r="16" spans="1:14" ht="20" customHeight="1">
      <c r="A16" s="178" t="s">
        <v>297</v>
      </c>
      <c r="B16" s="193">
        <f t="shared" ref="B16:G16" si="4">B17/2.2046</f>
        <v>0</v>
      </c>
      <c r="C16" s="193">
        <f t="shared" si="4"/>
        <v>0</v>
      </c>
      <c r="D16" s="193">
        <f t="shared" si="4"/>
        <v>0</v>
      </c>
      <c r="E16" s="193">
        <f t="shared" si="4"/>
        <v>0</v>
      </c>
      <c r="F16" s="262">
        <f t="shared" si="4"/>
        <v>0</v>
      </c>
      <c r="G16" s="262">
        <f t="shared" si="4"/>
        <v>0</v>
      </c>
      <c r="H16" s="142"/>
      <c r="I16" s="315" t="s">
        <v>37</v>
      </c>
      <c r="J16" s="122" t="e">
        <f>IF(Inputs!$N$3=6,M16,IF(Inputs!$N$3=5,L16,IF(Inputs!$N$3=4,K16,"")))</f>
        <v>#DIV/0!</v>
      </c>
      <c r="K16" s="172" t="e">
        <f>$K$15-$K$13</f>
        <v>#DIV/0!</v>
      </c>
      <c r="L16" s="172" t="e">
        <f>$L$15-$L$13</f>
        <v>#DIV/0!</v>
      </c>
      <c r="M16" s="172" t="e">
        <f>$M$15-$M$13</f>
        <v>#DIV/0!</v>
      </c>
      <c r="N16" s="321"/>
    </row>
    <row r="17" spans="1:14" ht="20" hidden="1" customHeight="1">
      <c r="A17" s="178" t="s">
        <v>161</v>
      </c>
      <c r="B17" s="193">
        <f>AVERAGE(Inputs!$K$7:$L$7)</f>
        <v>0</v>
      </c>
      <c r="C17" s="193">
        <f>AVERAGE(Inputs!$K$8:$L$8)</f>
        <v>0</v>
      </c>
      <c r="D17" s="193">
        <f>AVERAGE(Inputs!$K$9:$L$9)</f>
        <v>0</v>
      </c>
      <c r="E17" s="193">
        <f>AVERAGE(Inputs!$K$10:$L$10)</f>
        <v>0</v>
      </c>
      <c r="F17" s="262">
        <f>AVERAGE(Inputs!$K$11:$L$11)</f>
        <v>0</v>
      </c>
      <c r="G17" s="262">
        <f>AVERAGE(Inputs!$K$12:$L$12)</f>
        <v>0</v>
      </c>
      <c r="H17" s="142"/>
      <c r="M17" s="90"/>
    </row>
    <row r="18" spans="1:14" ht="20" customHeight="1">
      <c r="A18" s="178" t="s">
        <v>162</v>
      </c>
      <c r="B18" s="193">
        <f>((GrowthCurveAdjustments!$J$3*Fixed_Time!B17^3+GrowthCurveAdjustments!$K$3*Fixed_Time!B17^2+GrowthCurveAdjustments!$L$3*Fixed_Time!B17+GrowthCurveAdjustments!$M$3)/2.2046)*1000</f>
        <v>0</v>
      </c>
      <c r="C18" s="193">
        <f>((GrowthCurveAdjustments!$J$3*Fixed_Time!C17^3+GrowthCurveAdjustments!$K$3*Fixed_Time!C17^2+GrowthCurveAdjustments!$L$3*Fixed_Time!C17+GrowthCurveAdjustments!$M$3)/2.2046)*1000</f>
        <v>0</v>
      </c>
      <c r="D18" s="193">
        <f>((GrowthCurveAdjustments!$J$3*Fixed_Time!D17^3+GrowthCurveAdjustments!$K$3*Fixed_Time!D17^2+GrowthCurveAdjustments!$L$3*Fixed_Time!D17+GrowthCurveAdjustments!$M$3)/2.2046)*1000</f>
        <v>0</v>
      </c>
      <c r="E18" s="193">
        <f>((GrowthCurveAdjustments!$J$3*Fixed_Time!E17^3+GrowthCurveAdjustments!$K$3*Fixed_Time!E17^2+GrowthCurveAdjustments!$L$3*Fixed_Time!E17+GrowthCurveAdjustments!$M$3)/2.2046)*1000</f>
        <v>0</v>
      </c>
      <c r="F18" s="262">
        <f>((GrowthCurveAdjustments!$J$3*Fixed_Time!F17^3+GrowthCurveAdjustments!$K$3*Fixed_Time!F17^2+GrowthCurveAdjustments!$L$3*Fixed_Time!F17+GrowthCurveAdjustments!$M$3)/2.2046)*1000</f>
        <v>0</v>
      </c>
      <c r="G18" s="262">
        <f>((GrowthCurveAdjustments!$J$3*Fixed_Time!G17^3+GrowthCurveAdjustments!$K$3*Fixed_Time!G17^2+GrowthCurveAdjustments!$L$3*Fixed_Time!G17+GrowthCurveAdjustments!$M$3)/2.2046)*1000</f>
        <v>0</v>
      </c>
      <c r="H18" s="142"/>
      <c r="I18" s="315" t="s">
        <v>140</v>
      </c>
      <c r="J18" s="122" t="e">
        <f>IF(Inputs!$N$3=6,M18,IF(Inputs!$N$3=5,L18,IF(Inputs!$N$3=4,K18,"")))</f>
        <v>#DIV/0!</v>
      </c>
      <c r="K18" s="172" t="e">
        <f>(((SUM($B$28:$E$28)+Inputs!$K$7/2.2046)*(Inputs!$G$3*2.2046))-$K$14)</f>
        <v>#DIV/0!</v>
      </c>
      <c r="L18" s="172" t="e">
        <f>(((SUM($B$28:$F$28)+Inputs!$K$7/2.2046)*(Inputs!$G$3*2.2046))-$L$14)</f>
        <v>#DIV/0!</v>
      </c>
      <c r="M18" s="172" t="e">
        <f>(((SUM($B$28:$G$28)+Inputs!$K$7/2.2046)*(Inputs!$G$3*2.2046))-$M$14)</f>
        <v>#DIV/0!</v>
      </c>
    </row>
    <row r="19" spans="1:14" ht="20" customHeight="1">
      <c r="A19" s="178" t="s">
        <v>163</v>
      </c>
      <c r="B19" s="193">
        <f>B18-B15</f>
        <v>-275.99</v>
      </c>
      <c r="C19" s="193">
        <f t="shared" ref="C19:G19" si="5">C18-C15</f>
        <v>-275.99</v>
      </c>
      <c r="D19" s="193">
        <f t="shared" si="5"/>
        <v>-275.99</v>
      </c>
      <c r="E19" s="193">
        <f t="shared" si="5"/>
        <v>-275.99</v>
      </c>
      <c r="F19" s="262">
        <f t="shared" si="5"/>
        <v>-275.99</v>
      </c>
      <c r="G19" s="262">
        <f t="shared" si="5"/>
        <v>-275.99</v>
      </c>
      <c r="H19" s="142"/>
      <c r="I19" s="315" t="s">
        <v>141</v>
      </c>
      <c r="J19" s="122" t="e">
        <f>IF(Inputs!$N$3=6,M19,IF(Inputs!$N$3=5,L19,IF(Inputs!$N$3=4,K19,"")))</f>
        <v>#DIV/0!</v>
      </c>
      <c r="K19" s="172" t="e">
        <f>(((SUM($B$28:$E$28)+Inputs!$K$7/2.2046)*($E$43)/100)*(Inputs!$G$4*2.2046)-$K$14)</f>
        <v>#DIV/0!</v>
      </c>
      <c r="L19" s="172" t="e">
        <f>(((SUM($B$28:$F$28)+Inputs!$K$7/2.2046)*($F$43)/100)*(Inputs!$G$4*2.2046)-$L$14)</f>
        <v>#DIV/0!</v>
      </c>
      <c r="M19" s="172" t="e">
        <f>(((SUM($B$28:$G$28)+Inputs!$K$7/2.2046)*($G$43)/100)*(Inputs!$G$4*2.2046)-$M$14)</f>
        <v>#DIV/0!</v>
      </c>
    </row>
    <row r="20" spans="1:14" ht="20" customHeight="1">
      <c r="A20" s="178" t="s">
        <v>166</v>
      </c>
      <c r="B20" s="193">
        <f>B14+B19</f>
        <v>270.99053430000004</v>
      </c>
      <c r="C20" s="193">
        <f t="shared" ref="C20:G20" si="6">C14+C19</f>
        <v>274.49364370000012</v>
      </c>
      <c r="D20" s="193">
        <f t="shared" si="6"/>
        <v>277.746531</v>
      </c>
      <c r="E20" s="193">
        <f t="shared" si="6"/>
        <v>279.99852989999999</v>
      </c>
      <c r="F20" s="262">
        <f t="shared" si="6"/>
        <v>281.75008460000004</v>
      </c>
      <c r="G20" s="262">
        <f t="shared" si="6"/>
        <v>287.75541487412806</v>
      </c>
      <c r="H20" s="142"/>
      <c r="I20" s="335" t="s">
        <v>143</v>
      </c>
      <c r="J20" s="336" t="e">
        <f>IF(Inputs!$N$3=6,M20,IF(Inputs!$N$3=5,L20,IF(Inputs!$N$3=4,K20,"")))</f>
        <v>#DIV/0!</v>
      </c>
      <c r="K20" s="149" t="e">
        <f>(((SUM($B$28:$E$28)+Inputs!$K$7/2.2046)*(Inputs!$G$3*2.2046))-$K$14)-(Inputs!$G$5+Inputs!$G$10)</f>
        <v>#DIV/0!</v>
      </c>
      <c r="L20" s="149" t="e">
        <f>(((SUM($B$28:$F$28)+Inputs!$K$7/2.2046)*(Inputs!$G$3*2.2046))-$L$14)-(Inputs!$G$5+Inputs!$G$10)</f>
        <v>#DIV/0!</v>
      </c>
      <c r="M20" s="149" t="e">
        <f>(((SUM($B$28:$G$28)+Inputs!$K$7/2.2046)*(Inputs!$G$3*2.2046))-$M$14)-(Inputs!$G$5+Inputs!$G$10)</f>
        <v>#DIV/0!</v>
      </c>
    </row>
    <row r="21" spans="1:14" ht="20" customHeight="1">
      <c r="A21" s="194"/>
      <c r="B21" s="194"/>
      <c r="C21" s="194"/>
      <c r="D21" s="194"/>
      <c r="E21" s="194"/>
      <c r="F21" s="154"/>
      <c r="G21" s="154"/>
      <c r="H21" s="142"/>
      <c r="I21" s="335" t="s">
        <v>144</v>
      </c>
      <c r="J21" s="336" t="e">
        <f>IF(Inputs!$N$3=6,M21,IF(Inputs!$N$3=5,L21,IF(Inputs!$N$3=4,K21,"")))</f>
        <v>#DIV/0!</v>
      </c>
      <c r="K21" s="149" t="e">
        <f>(((SUM($B$28:$E$28)+Inputs!$K$7/2.2046)*($E$43)/100)*(Inputs!$G$4*2.2046)-$K$14)-(Inputs!$G$5+Inputs!$G$10)</f>
        <v>#DIV/0!</v>
      </c>
      <c r="L21" s="149" t="e">
        <f>(((SUM($B$28:$F$28)+Inputs!$K$7/2.2046)*($F$43)/100)*(Inputs!$G$4*2.2046)-$L$14)-(Inputs!$G$5+Inputs!$G$10)</f>
        <v>#DIV/0!</v>
      </c>
      <c r="M21" s="149" t="e">
        <f>(((SUM($B$28:$G$28)+Inputs!$K$7/2.2046)*($G$43)/100)*(Inputs!$G$4*2.2046)-$M$14)-(Inputs!$G$5+Inputs!G10)</f>
        <v>#DIV/0!</v>
      </c>
    </row>
    <row r="22" spans="1:14" ht="20" customHeight="1">
      <c r="A22" s="178" t="s">
        <v>164</v>
      </c>
      <c r="B22" s="189" t="e">
        <f>1/(GrowthCurveAdjustments!$J$4*Fixed_Time!B17^3+GrowthCurveAdjustments!$K$4*Fixed_Time!B17^2+GrowthCurveAdjustments!$L$4*Fixed_Time!B17+GrowthCurveAdjustments!$M$4)</f>
        <v>#DIV/0!</v>
      </c>
      <c r="C22" s="189" t="e">
        <f>1/(GrowthCurveAdjustments!$J$4*Fixed_Time!C17^3+GrowthCurveAdjustments!$K$4*Fixed_Time!C17^2+GrowthCurveAdjustments!$L$4*Fixed_Time!C17+GrowthCurveAdjustments!$M$4)</f>
        <v>#DIV/0!</v>
      </c>
      <c r="D22" s="189" t="e">
        <f>1/(GrowthCurveAdjustments!$J$4*Fixed_Time!D17^3+GrowthCurveAdjustments!$K$4*Fixed_Time!D17^2+GrowthCurveAdjustments!$L$4*Fixed_Time!D17+GrowthCurveAdjustments!$M$4)</f>
        <v>#DIV/0!</v>
      </c>
      <c r="E22" s="189" t="e">
        <f>1/(GrowthCurveAdjustments!$J$4*Fixed_Time!E17^3+GrowthCurveAdjustments!$K$4*Fixed_Time!E17^2+GrowthCurveAdjustments!$L$4*Fixed_Time!E17+GrowthCurveAdjustments!$M$4)</f>
        <v>#DIV/0!</v>
      </c>
      <c r="F22" s="263" t="e">
        <f>1/(GrowthCurveAdjustments!$J$4*Fixed_Time!F17^3+GrowthCurveAdjustments!$K$4*Fixed_Time!F17^2+GrowthCurveAdjustments!$L$4*Fixed_Time!F17+GrowthCurveAdjustments!$M$4)</f>
        <v>#DIV/0!</v>
      </c>
      <c r="G22" s="263" t="e">
        <f>1/(GrowthCurveAdjustments!$J$4*Fixed_Time!G17^3+GrowthCurveAdjustments!$K$4*Fixed_Time!G17^2+GrowthCurveAdjustments!$L$4*Fixed_Time!G17+GrowthCurveAdjustments!$M$4)</f>
        <v>#DIV/0!</v>
      </c>
      <c r="H22" s="142"/>
      <c r="I22" s="315"/>
      <c r="J22" s="122"/>
      <c r="K22" s="174"/>
      <c r="L22" s="174"/>
      <c r="M22" s="174"/>
    </row>
    <row r="23" spans="1:14" ht="20" customHeight="1">
      <c r="A23" s="178" t="s">
        <v>168</v>
      </c>
      <c r="B23" s="189" t="e">
        <f>IF(Inputs!$H$19=1,((B9/Inputs!$M$7)*(B22)), IF(Inputs!$H$19=2,((0.000004365*(Inputs!$M$7*2.2046))-((0.00162*B17)/2.2046)-(0.08023*B13)+(0.000094*(Inputs!$M$7*2.2046)*B13)+0.3496),0))</f>
        <v>#DIV/0!</v>
      </c>
      <c r="C23" s="189" t="e">
        <f>IF(Inputs!$H$19=1,((C9/Inputs!$M$8)*(C22)), IF(Inputs!$H$19=2,((0.000004365*(Inputs!$M$8*2.2046))-((0.00162*C17)/2.2046)-(0.08023*C13)+(0.000094*(Inputs!$M$8*2.2046)*C13)+0.3496),0))</f>
        <v>#DIV/0!</v>
      </c>
      <c r="D23" s="189" t="e">
        <f>IF(Inputs!$H$19=1,((D9/Inputs!$M$9)*(D22)), IF(Inputs!$H$19=2,((0.000004365*(Inputs!$M$9*2.2046))-((0.00162*D17)/2.2046)-(0.08023*D13)+(0.000094*(Inputs!$M$9*2.2046)*D13)+0.3496),0))</f>
        <v>#DIV/0!</v>
      </c>
      <c r="E23" s="189" t="e">
        <f>IF(Inputs!$H$19=1,((E9/Inputs!$M$10)*(E22)), IF(Inputs!$H$19=2,((0.000004365*(Inputs!$M$10*2.2046))-((0.00162*E17)/2.2046)-(0.08023*E13)+(0.000094*(Inputs!$M$10*2.2046)*E13)+0.3496),0))</f>
        <v>#DIV/0!</v>
      </c>
      <c r="F23" s="263" t="e">
        <f>IF(Inputs!$H$19=1,((F9/Inputs!$M$11)*(F22)), IF(Inputs!$H$19=2,((0.000004365*(Inputs!$M$11*2.2046))-((0.00162*F17)/2.2046)-(0.08023*F13)+(0.000094*(Inputs!$M$11*2.2046)*F13)+0.3496),0))</f>
        <v>#DIV/0!</v>
      </c>
      <c r="G23" s="263" t="e">
        <f>IF(Inputs!$H$19=1,((G9/Inputs!$M$12)*(G22)), IF(Inputs!$H$19=2,((0.000004365*(Inputs!$M$12*2.2046))-((0.00162*G17)/2.2046)-(0.08023*G13)+(0.000094*(Inputs!$M$12*2.2046)*G13)+0.3496),0))</f>
        <v>#DIV/0!</v>
      </c>
      <c r="H23" s="142"/>
      <c r="I23" s="315" t="str">
        <f>IF(Inputs!$H$13=1, $I$20,IF(Inputs!$H$13=2, $I$21,""))</f>
        <v xml:space="preserve">  IOTC Carcass, $/pig</v>
      </c>
      <c r="J23" s="122" t="e">
        <f>IF(Inputs!$N$3=6,(VLOOKUP($I$23,$I$20:$M$21,5,0)),IF(Inputs!$N$3=5,(VLOOKUP($I$23,$I$20:$M$21,4,0)),IF(Inputs!$N$3=4,(VLOOKUP($I$23,$I$20:$M$21,3,0)))))</f>
        <v>#DIV/0!</v>
      </c>
      <c r="K23" s="184"/>
      <c r="L23" s="185"/>
      <c r="M23" s="174"/>
    </row>
    <row r="24" spans="1:14" ht="20" customHeight="1">
      <c r="A24" s="194"/>
      <c r="B24" s="316"/>
      <c r="C24" s="316"/>
      <c r="D24" s="316"/>
      <c r="E24" s="316"/>
      <c r="F24" s="381"/>
      <c r="G24" s="381"/>
      <c r="H24" s="118"/>
      <c r="K24" s="194"/>
      <c r="L24" s="194"/>
      <c r="M24" s="183"/>
    </row>
    <row r="25" spans="1:14" ht="20" customHeight="1">
      <c r="A25" s="178" t="s">
        <v>75</v>
      </c>
      <c r="B25" s="170" t="e">
        <f>B20/B23</f>
        <v>#DIV/0!</v>
      </c>
      <c r="C25" s="170" t="e">
        <f t="shared" ref="C25:G25" si="7">C20/C23</f>
        <v>#DIV/0!</v>
      </c>
      <c r="D25" s="170" t="e">
        <f t="shared" si="7"/>
        <v>#DIV/0!</v>
      </c>
      <c r="E25" s="170" t="e">
        <f t="shared" si="7"/>
        <v>#DIV/0!</v>
      </c>
      <c r="F25" s="264" t="e">
        <f t="shared" si="7"/>
        <v>#DIV/0!</v>
      </c>
      <c r="G25" s="264" t="e">
        <f t="shared" si="7"/>
        <v>#DIV/0!</v>
      </c>
      <c r="H25" s="118"/>
      <c r="K25" s="194"/>
      <c r="L25" s="194"/>
      <c r="M25" s="183"/>
    </row>
    <row r="26" spans="1:14" ht="20" customHeight="1">
      <c r="A26" s="178" t="s">
        <v>14</v>
      </c>
      <c r="B26" s="163" t="e">
        <f>CalculationsCurrent!$B$22</f>
        <v>#DIV/0!</v>
      </c>
      <c r="C26" s="163" t="e">
        <f>CalculationsCurrent!$C$22</f>
        <v>#DIV/0!</v>
      </c>
      <c r="D26" s="163" t="e">
        <f>CalculationsCurrent!$D$22</f>
        <v>#DIV/0!</v>
      </c>
      <c r="E26" s="163" t="e">
        <f>CalculationsCurrent!$E$22</f>
        <v>#DIV/0!</v>
      </c>
      <c r="F26" s="260" t="e">
        <f>CalculationsCurrent!$F$22</f>
        <v>#DIV/0!</v>
      </c>
      <c r="G26" s="260" t="e">
        <f>CalculationsCurrent!$G$22</f>
        <v>#DIV/0!</v>
      </c>
      <c r="H26" s="114"/>
      <c r="I26" s="315"/>
      <c r="J26" s="120"/>
      <c r="K26" s="174"/>
      <c r="L26" s="186"/>
      <c r="M26" s="174"/>
      <c r="N26" s="120"/>
    </row>
    <row r="27" spans="1:14" ht="20" customHeight="1">
      <c r="A27" s="178" t="s">
        <v>17</v>
      </c>
      <c r="B27" s="172" t="e">
        <f t="shared" ref="B27:G27" si="8">(B26*(B25/1000)*(B11/1000))</f>
        <v>#DIV/0!</v>
      </c>
      <c r="C27" s="172" t="e">
        <f t="shared" si="8"/>
        <v>#DIV/0!</v>
      </c>
      <c r="D27" s="172" t="e">
        <f t="shared" si="8"/>
        <v>#DIV/0!</v>
      </c>
      <c r="E27" s="172" t="e">
        <f t="shared" si="8"/>
        <v>#DIV/0!</v>
      </c>
      <c r="F27" s="160" t="e">
        <f t="shared" si="8"/>
        <v>#DIV/0!</v>
      </c>
      <c r="G27" s="160" t="e">
        <f t="shared" si="8"/>
        <v>#DIV/0!</v>
      </c>
      <c r="H27" s="142"/>
      <c r="I27" s="315"/>
      <c r="J27" s="120"/>
      <c r="K27" s="174"/>
      <c r="L27" s="186"/>
      <c r="M27" s="174"/>
    </row>
    <row r="28" spans="1:14" ht="20" customHeight="1">
      <c r="A28" s="178" t="s">
        <v>289</v>
      </c>
      <c r="B28" s="163" t="e">
        <f t="shared" ref="B28:G28" si="9">B20/1000*B26</f>
        <v>#DIV/0!</v>
      </c>
      <c r="C28" s="163" t="e">
        <f t="shared" si="9"/>
        <v>#DIV/0!</v>
      </c>
      <c r="D28" s="163" t="e">
        <f t="shared" si="9"/>
        <v>#DIV/0!</v>
      </c>
      <c r="E28" s="163" t="e">
        <f t="shared" si="9"/>
        <v>#DIV/0!</v>
      </c>
      <c r="F28" s="260" t="e">
        <f t="shared" si="9"/>
        <v>#DIV/0!</v>
      </c>
      <c r="G28" s="260" t="e">
        <f t="shared" si="9"/>
        <v>#DIV/0!</v>
      </c>
      <c r="H28" s="117"/>
      <c r="I28" s="315"/>
      <c r="J28" s="120"/>
      <c r="K28" s="174"/>
      <c r="L28" s="186"/>
      <c r="M28" s="188"/>
    </row>
    <row r="29" spans="1:14" ht="20" customHeight="1">
      <c r="A29" s="178" t="s">
        <v>291</v>
      </c>
      <c r="B29" s="172" t="e">
        <f t="shared" ref="B29:G29" si="10">B11/1000*(1/B23)</f>
        <v>#DIV/0!</v>
      </c>
      <c r="C29" s="172" t="e">
        <f t="shared" si="10"/>
        <v>#DIV/0!</v>
      </c>
      <c r="D29" s="172" t="e">
        <f t="shared" si="10"/>
        <v>#DIV/0!</v>
      </c>
      <c r="E29" s="172" t="e">
        <f t="shared" si="10"/>
        <v>#DIV/0!</v>
      </c>
      <c r="F29" s="160" t="e">
        <f t="shared" si="10"/>
        <v>#DIV/0!</v>
      </c>
      <c r="G29" s="160" t="e">
        <f t="shared" si="10"/>
        <v>#DIV/0!</v>
      </c>
      <c r="H29" s="107"/>
      <c r="I29" s="315"/>
      <c r="J29" s="120"/>
      <c r="K29" s="174"/>
      <c r="L29" s="186"/>
      <c r="M29" s="174"/>
    </row>
    <row r="30" spans="1:14" ht="20" customHeight="1">
      <c r="A30" s="178" t="s">
        <v>292</v>
      </c>
      <c r="B30" s="172" t="e">
        <f t="shared" ref="B30:G30" si="11">(B25/1000)*B26</f>
        <v>#DIV/0!</v>
      </c>
      <c r="C30" s="172" t="e">
        <f t="shared" si="11"/>
        <v>#DIV/0!</v>
      </c>
      <c r="D30" s="172" t="e">
        <f t="shared" si="11"/>
        <v>#DIV/0!</v>
      </c>
      <c r="E30" s="172" t="e">
        <f t="shared" si="11"/>
        <v>#DIV/0!</v>
      </c>
      <c r="F30" s="160" t="e">
        <f t="shared" si="11"/>
        <v>#DIV/0!</v>
      </c>
      <c r="G30" s="160" t="e">
        <f t="shared" si="11"/>
        <v>#DIV/0!</v>
      </c>
      <c r="H30" s="118"/>
      <c r="I30" s="16"/>
      <c r="J30" s="112"/>
      <c r="K30" s="190"/>
      <c r="L30" s="186"/>
      <c r="M30" s="174"/>
    </row>
    <row r="31" spans="1:14" ht="20" customHeight="1">
      <c r="A31" s="178" t="s">
        <v>138</v>
      </c>
      <c r="B31" s="172" t="e">
        <f>B27+(B26*Inputs!$G$6)</f>
        <v>#DIV/0!</v>
      </c>
      <c r="C31" s="172" t="e">
        <f>C27+(C26*Inputs!$G$6)</f>
        <v>#DIV/0!</v>
      </c>
      <c r="D31" s="172" t="e">
        <f>D27+(D26*Inputs!$G$6)</f>
        <v>#DIV/0!</v>
      </c>
      <c r="E31" s="172" t="e">
        <f>E27+(E26*Inputs!$G$6)</f>
        <v>#DIV/0!</v>
      </c>
      <c r="F31" s="160" t="e">
        <f>F27+(F26*Inputs!$G$6)</f>
        <v>#DIV/0!</v>
      </c>
      <c r="G31" s="160" t="e">
        <f>G27+(G26*Inputs!$G$6)</f>
        <v>#DIV/0!</v>
      </c>
      <c r="H31" s="119"/>
      <c r="I31" s="103"/>
      <c r="J31" s="120"/>
      <c r="K31" s="174"/>
      <c r="L31" s="186"/>
      <c r="M31" s="174"/>
    </row>
    <row r="32" spans="1:14" ht="20" customHeight="1">
      <c r="A32" s="178" t="s">
        <v>19</v>
      </c>
      <c r="B32" s="172" t="e">
        <f>B28*Inputs!$G$3*2.2046</f>
        <v>#DIV/0!</v>
      </c>
      <c r="C32" s="172" t="e">
        <f>C28*Inputs!$G$3*2.2046</f>
        <v>#DIV/0!</v>
      </c>
      <c r="D32" s="172" t="e">
        <f>D28*Inputs!$G$3*2.2046</f>
        <v>#DIV/0!</v>
      </c>
      <c r="E32" s="172" t="e">
        <f>E28*Inputs!$G$3*2.2046</f>
        <v>#DIV/0!</v>
      </c>
      <c r="F32" s="160" t="e">
        <f>F28*Inputs!$G$3*2.2046</f>
        <v>#DIV/0!</v>
      </c>
      <c r="G32" s="160" t="e">
        <f>G28*Inputs!$G$3*2.2046</f>
        <v>#DIV/0!</v>
      </c>
      <c r="H32" s="119"/>
      <c r="I32" s="103"/>
      <c r="J32" s="120"/>
      <c r="K32" s="174"/>
      <c r="L32" s="186"/>
      <c r="M32" s="174"/>
    </row>
    <row r="33" spans="1:13" ht="20" customHeight="1">
      <c r="A33" s="178" t="s">
        <v>35</v>
      </c>
      <c r="B33" s="172" t="e">
        <f>B32-B27</f>
        <v>#DIV/0!</v>
      </c>
      <c r="C33" s="172" t="e">
        <f t="shared" ref="C33:G33" si="12">C32-C27</f>
        <v>#DIV/0!</v>
      </c>
      <c r="D33" s="172" t="e">
        <f t="shared" si="12"/>
        <v>#DIV/0!</v>
      </c>
      <c r="E33" s="172" t="e">
        <f t="shared" si="12"/>
        <v>#DIV/0!</v>
      </c>
      <c r="F33" s="160" t="e">
        <f t="shared" si="12"/>
        <v>#DIV/0!</v>
      </c>
      <c r="G33" s="160" t="e">
        <f t="shared" si="12"/>
        <v>#DIV/0!</v>
      </c>
      <c r="H33" s="119"/>
      <c r="I33" s="121"/>
      <c r="J33" s="120"/>
      <c r="K33" s="174"/>
      <c r="L33" s="186"/>
      <c r="M33" s="174"/>
    </row>
    <row r="34" spans="1:13" ht="20" customHeight="1">
      <c r="A34" s="178" t="s">
        <v>36</v>
      </c>
      <c r="B34" s="172" t="e">
        <f>B32-B31</f>
        <v>#DIV/0!</v>
      </c>
      <c r="C34" s="172" t="e">
        <f t="shared" ref="C34:G34" si="13">C32-C31</f>
        <v>#DIV/0!</v>
      </c>
      <c r="D34" s="172" t="e">
        <f t="shared" si="13"/>
        <v>#DIV/0!</v>
      </c>
      <c r="E34" s="172" t="e">
        <f t="shared" si="13"/>
        <v>#DIV/0!</v>
      </c>
      <c r="F34" s="160" t="e">
        <f t="shared" si="13"/>
        <v>#DIV/0!</v>
      </c>
      <c r="G34" s="160" t="e">
        <f t="shared" si="13"/>
        <v>#DIV/0!</v>
      </c>
      <c r="H34" s="119"/>
      <c r="I34" s="103"/>
      <c r="J34" s="120"/>
      <c r="K34" s="174"/>
      <c r="L34" s="186"/>
      <c r="M34" s="174"/>
    </row>
    <row r="35" spans="1:13" ht="20" customHeight="1">
      <c r="A35" s="178"/>
      <c r="B35" s="172"/>
      <c r="C35" s="172"/>
      <c r="D35" s="172"/>
      <c r="E35" s="172"/>
      <c r="F35" s="172"/>
      <c r="G35" s="172"/>
      <c r="H35" s="119"/>
      <c r="I35" s="103"/>
      <c r="J35" s="120"/>
      <c r="K35" s="174"/>
      <c r="L35" s="186"/>
      <c r="M35" s="174"/>
    </row>
    <row r="36" spans="1:13" ht="20" customHeight="1">
      <c r="A36" s="345" t="s">
        <v>230</v>
      </c>
      <c r="B36" s="344" t="str">
        <f>CONCATENATE($A$36,"-",Inputs!$N$3-1)</f>
        <v>Ph-5</v>
      </c>
      <c r="C36" s="344" t="str">
        <f>CONCATENATE($A$36,"-",Inputs!$N$3)</f>
        <v>Ph-6</v>
      </c>
      <c r="D36" s="194"/>
      <c r="E36" s="194"/>
      <c r="F36" s="194"/>
      <c r="G36" s="194"/>
      <c r="H36" s="119"/>
      <c r="I36" s="119"/>
      <c r="J36" s="119"/>
      <c r="K36" s="172"/>
      <c r="L36" s="186"/>
      <c r="M36" s="174"/>
    </row>
    <row r="37" spans="1:13" ht="20" customHeight="1">
      <c r="A37" s="178" t="s">
        <v>102</v>
      </c>
      <c r="B37" s="354"/>
      <c r="C37" s="163">
        <f>IF(Inputs!$N$3=4,$E37,IF(Inputs!$N$3=5,$F37,IF(Inputs!$N$3=6,$G37,"")))</f>
        <v>0</v>
      </c>
      <c r="D37" s="260"/>
      <c r="E37" s="260">
        <f>Inputs!$G$9</f>
        <v>0</v>
      </c>
      <c r="F37" s="260">
        <f>Inputs!$G$9</f>
        <v>0</v>
      </c>
      <c r="G37" s="260">
        <f>Inputs!$G$9</f>
        <v>0</v>
      </c>
      <c r="H37" s="119"/>
      <c r="I37" s="103"/>
      <c r="J37" s="120"/>
      <c r="K37" s="174"/>
      <c r="L37" s="186"/>
      <c r="M37" s="174"/>
    </row>
    <row r="38" spans="1:13" ht="20" customHeight="1">
      <c r="A38" s="178" t="s">
        <v>103</v>
      </c>
      <c r="B38" s="163">
        <f>IF(Inputs!$N$3=4,$D$38,IF(Inputs!$N$3=5,$E$38,IF(Inputs!$N$3=6,$F$38,"")))</f>
        <v>0</v>
      </c>
      <c r="C38" s="163">
        <f>IF(Inputs!$N$3=4,$E38,IF(Inputs!$N$3=5,$F38,IF(Inputs!$N$3=6,$G38,"")))</f>
        <v>0</v>
      </c>
      <c r="D38" s="165">
        <f>VLOOKUP(Inputs!$M$9,Inputs!$J$32:$L$36,3,FALSE)</f>
        <v>0</v>
      </c>
      <c r="E38" s="165">
        <f>VLOOKUP(Inputs!$M$10,Inputs!$J$37:$L$41,3,FALSE)</f>
        <v>0</v>
      </c>
      <c r="F38" s="165">
        <f>VLOOKUP(Inputs!$M$11,Inputs!$J$42:$L$46,3,FALSE)</f>
        <v>0</v>
      </c>
      <c r="G38" s="165">
        <f>VLOOKUP(Inputs!$M$12,Inputs!$J$47:$L$51,3,FALSE)</f>
        <v>0</v>
      </c>
      <c r="H38" s="119"/>
      <c r="I38" s="115"/>
      <c r="J38" s="120"/>
      <c r="K38" s="174"/>
      <c r="L38" s="186"/>
      <c r="M38" s="174"/>
    </row>
    <row r="39" spans="1:13" ht="20" customHeight="1">
      <c r="A39" s="178" t="s">
        <v>99</v>
      </c>
      <c r="B39" s="354"/>
      <c r="C39" s="163" t="e">
        <f>IF(Inputs!$N$3=4,$E39,IF(Inputs!$N$3=5,$F39,IF(Inputs!$N$3=6,$G39,"")))</f>
        <v>#DIV/0!</v>
      </c>
      <c r="D39" s="260"/>
      <c r="E39" s="260" t="e">
        <f>($E$26*0.03492)+(D38*-0.05092)+(E38*-0.06897)+((E38*$E$26)*-0.00289)+76.0769</f>
        <v>#DIV/0!</v>
      </c>
      <c r="F39" s="260" t="e">
        <f>(F26*0.03492)+(E38*-0.05092)+(F38*-0.06897)+((F38*F26)*-0.00289)+76.0769</f>
        <v>#DIV/0!</v>
      </c>
      <c r="G39" s="260" t="e">
        <f>(G26*0.03492)+(F38*-0.05092)+(G38*-0.06897)+((G38*G26)*-0.00289)+76.0769</f>
        <v>#DIV/0!</v>
      </c>
      <c r="H39" s="119"/>
      <c r="I39" s="115"/>
      <c r="J39" s="120"/>
      <c r="K39" s="174"/>
      <c r="L39" s="186"/>
      <c r="M39" s="174"/>
    </row>
    <row r="40" spans="1:13" ht="20" customHeight="1">
      <c r="A40" s="178" t="s">
        <v>104</v>
      </c>
      <c r="B40" s="163"/>
      <c r="C40" s="163" t="e">
        <f>IF(Inputs!$N$3=4,$E40,IF(Inputs!$N$3=5,$F40,IF(Inputs!$N$3=6,$G40,"")))</f>
        <v>#DIV/0!</v>
      </c>
      <c r="D40" s="260"/>
      <c r="E40" s="260" t="e">
        <f>E37-E39</f>
        <v>#DIV/0!</v>
      </c>
      <c r="F40" s="260" t="e">
        <f>F37-F39</f>
        <v>#DIV/0!</v>
      </c>
      <c r="G40" s="260" t="e">
        <f>G37-G39</f>
        <v>#DIV/0!</v>
      </c>
      <c r="H40" s="119"/>
      <c r="I40" s="115"/>
      <c r="J40" s="120"/>
      <c r="K40" s="174"/>
      <c r="L40" s="186"/>
      <c r="M40" s="174"/>
    </row>
    <row r="41" spans="1:13" ht="20" customHeight="1">
      <c r="A41" s="178" t="s">
        <v>105</v>
      </c>
      <c r="B41" s="163"/>
      <c r="C41" s="163">
        <f>IF(Inputs!$N$3=4,$E41,IF(Inputs!$N$3=5,$F41,IF(Inputs!$N$3=6,$G41,"")))</f>
        <v>0</v>
      </c>
      <c r="D41" s="260">
        <f>D12</f>
        <v>0</v>
      </c>
      <c r="E41" s="260">
        <f t="shared" ref="E41:G41" si="14">E12</f>
        <v>0</v>
      </c>
      <c r="F41" s="260">
        <f t="shared" si="14"/>
        <v>0</v>
      </c>
      <c r="G41" s="260">
        <f t="shared" si="14"/>
        <v>0</v>
      </c>
      <c r="H41" s="119"/>
      <c r="I41" s="115"/>
      <c r="J41" s="120"/>
      <c r="K41" s="174"/>
      <c r="L41" s="174"/>
      <c r="M41" s="190"/>
    </row>
    <row r="42" spans="1:13" ht="20" customHeight="1">
      <c r="A42" s="178" t="s">
        <v>106</v>
      </c>
      <c r="B42" s="163"/>
      <c r="C42" s="163" t="e">
        <f>IF(Inputs!$N$3=4,$E42,IF(Inputs!$N$3=5,$F42,IF(Inputs!$N$3=6,$G42,"")))</f>
        <v>#DIV/0!</v>
      </c>
      <c r="D42" s="260"/>
      <c r="E42" s="260" t="e">
        <f>($E$26*0.03492)+(D41*-0.05092)+(E41*-0.06897)+((E41*$E$26)*-0.00289)+76.0769</f>
        <v>#DIV/0!</v>
      </c>
      <c r="F42" s="260" t="e">
        <f>(F26*0.03492)+(E41*-0.05092)+(F41*-0.06897)+((F41*F26)*-0.00289)+76.0769</f>
        <v>#DIV/0!</v>
      </c>
      <c r="G42" s="260" t="e">
        <f>(G26*0.03492)+(F41*-0.05092)+(G41*-0.06897)+((G41*G26)*-0.00289)+76.0769</f>
        <v>#DIV/0!</v>
      </c>
      <c r="H42" s="119"/>
      <c r="I42" s="16"/>
      <c r="J42" s="16"/>
      <c r="K42" s="184"/>
      <c r="L42" s="184"/>
      <c r="M42" s="190"/>
    </row>
    <row r="43" spans="1:13" ht="20" customHeight="1">
      <c r="A43" s="178" t="s">
        <v>107</v>
      </c>
      <c r="B43" s="163"/>
      <c r="C43" s="163" t="e">
        <f>IF(Inputs!$N$3=4,$E43,IF(Inputs!$N$3=5,$F43,IF(Inputs!$N$3=6,$G43,"")))</f>
        <v>#DIV/0!</v>
      </c>
      <c r="D43" s="260"/>
      <c r="E43" s="260" t="e">
        <f>E42+E40</f>
        <v>#DIV/0!</v>
      </c>
      <c r="F43" s="260" t="e">
        <f>F42+F40</f>
        <v>#DIV/0!</v>
      </c>
      <c r="G43" s="260" t="e">
        <f>G42+G40</f>
        <v>#DIV/0!</v>
      </c>
      <c r="H43" s="119"/>
      <c r="I43" s="16"/>
      <c r="J43" s="16"/>
      <c r="K43" s="184"/>
      <c r="L43" s="184"/>
      <c r="M43" s="190"/>
    </row>
    <row r="44" spans="1:13" ht="20" customHeight="1">
      <c r="A44" s="194"/>
      <c r="B44" s="194"/>
      <c r="C44" s="194"/>
      <c r="D44" s="173"/>
      <c r="E44" s="174"/>
      <c r="F44" s="174"/>
      <c r="G44" s="174"/>
      <c r="H44" s="119"/>
      <c r="I44" s="16"/>
      <c r="J44" s="16"/>
      <c r="K44" s="184"/>
      <c r="L44" s="184"/>
      <c r="M44" s="190"/>
    </row>
    <row r="45" spans="1:13" ht="20" hidden="1" customHeight="1">
      <c r="A45" s="175"/>
      <c r="B45" s="175"/>
      <c r="C45" s="175"/>
      <c r="D45" s="173"/>
      <c r="E45" s="173"/>
      <c r="F45" s="173"/>
      <c r="G45" s="173"/>
      <c r="H45" s="115"/>
      <c r="K45" s="194"/>
      <c r="L45" s="194"/>
      <c r="M45" s="183"/>
    </row>
    <row r="46" spans="1:13" ht="20" hidden="1" customHeight="1">
      <c r="A46" s="314" t="s">
        <v>136</v>
      </c>
      <c r="B46" s="115"/>
      <c r="C46" s="312" t="s">
        <v>42</v>
      </c>
      <c r="D46" s="312" t="s">
        <v>43</v>
      </c>
      <c r="E46" s="19"/>
      <c r="F46" s="17"/>
      <c r="G46" s="17"/>
      <c r="H46" s="17"/>
    </row>
    <row r="47" spans="1:13" ht="20" hidden="1" customHeight="1">
      <c r="A47" s="314" t="s">
        <v>137</v>
      </c>
      <c r="B47" s="312" t="s">
        <v>21</v>
      </c>
      <c r="C47" s="196">
        <f>Inputs!$N$7</f>
        <v>0</v>
      </c>
      <c r="D47" s="196">
        <f>Inputs!$O$7</f>
        <v>0</v>
      </c>
      <c r="E47" s="11"/>
      <c r="F47" s="17"/>
      <c r="G47" s="17"/>
      <c r="H47" s="17"/>
    </row>
    <row r="48" spans="1:13" ht="20" hidden="1" customHeight="1">
      <c r="A48" s="115"/>
      <c r="B48" s="312" t="s">
        <v>22</v>
      </c>
      <c r="C48" s="196">
        <f>Inputs!$N$8</f>
        <v>0</v>
      </c>
      <c r="D48" s="196">
        <f>Inputs!$O$8</f>
        <v>0</v>
      </c>
      <c r="E48" s="11"/>
      <c r="F48" s="17"/>
      <c r="G48" s="17"/>
      <c r="H48" s="17"/>
    </row>
    <row r="49" spans="1:8" ht="20" hidden="1" customHeight="1">
      <c r="A49" s="115"/>
      <c r="B49" s="312" t="s">
        <v>23</v>
      </c>
      <c r="C49" s="196">
        <f>Inputs!$N$9</f>
        <v>0</v>
      </c>
      <c r="D49" s="196">
        <f>Inputs!$O$9</f>
        <v>0</v>
      </c>
      <c r="E49" s="11"/>
      <c r="F49" s="17"/>
      <c r="G49" s="17"/>
      <c r="H49" s="17"/>
    </row>
    <row r="50" spans="1:8" ht="20" hidden="1" customHeight="1">
      <c r="A50" s="115"/>
      <c r="B50" s="312" t="s">
        <v>24</v>
      </c>
      <c r="C50" s="196">
        <f>Inputs!$N$10</f>
        <v>0</v>
      </c>
      <c r="D50" s="196">
        <f>Inputs!$O$10</f>
        <v>0</v>
      </c>
      <c r="E50" s="11"/>
      <c r="F50" s="17"/>
      <c r="G50" s="17"/>
      <c r="H50" s="17"/>
    </row>
    <row r="51" spans="1:8" ht="20" hidden="1" customHeight="1">
      <c r="A51" s="115"/>
      <c r="B51" s="312" t="s">
        <v>25</v>
      </c>
      <c r="C51" s="196">
        <f>Inputs!$N$11</f>
        <v>0</v>
      </c>
      <c r="D51" s="196">
        <f>Inputs!$O$11</f>
        <v>0</v>
      </c>
      <c r="E51" s="11"/>
      <c r="F51" s="17"/>
      <c r="G51" s="17"/>
      <c r="H51" s="17"/>
    </row>
    <row r="52" spans="1:8" ht="20" hidden="1" customHeight="1">
      <c r="A52" s="112"/>
      <c r="B52" s="312" t="s">
        <v>26</v>
      </c>
      <c r="C52" s="196">
        <f>Inputs!$N$12</f>
        <v>0</v>
      </c>
      <c r="D52" s="196">
        <f>Inputs!$O$12</f>
        <v>0</v>
      </c>
      <c r="E52" s="108"/>
      <c r="F52" s="112"/>
      <c r="G52" s="17"/>
      <c r="H52" s="17"/>
    </row>
    <row r="53" spans="1:8" ht="17">
      <c r="A53" s="314"/>
      <c r="C53" s="201"/>
    </row>
    <row r="54" spans="1:8" ht="17">
      <c r="A54" s="314"/>
      <c r="C54" s="201"/>
    </row>
    <row r="55" spans="1:8" ht="17">
      <c r="B55" s="314"/>
      <c r="C55" s="314"/>
    </row>
    <row r="56" spans="1:8" ht="17">
      <c r="A56" s="314"/>
      <c r="B56" s="52"/>
      <c r="C56" s="52"/>
    </row>
  </sheetData>
  <mergeCells count="5">
    <mergeCell ref="A1:M1"/>
    <mergeCell ref="A2:A3"/>
    <mergeCell ref="B2:G3"/>
    <mergeCell ref="H2:I3"/>
    <mergeCell ref="J2:J3"/>
  </mergeCells>
  <pageMargins left="0.7" right="0.7" top="0.75" bottom="0.75" header="0.3" footer="0.3"/>
  <pageSetup scale="30" orientation="portrait"/>
  <ignoredErrors>
    <ignoredError sqref="K11" formulaRange="1"/>
    <ignoredError sqref="K12:M12" formula="1"/>
    <ignoredError sqref="F6:G6 F17:G26 F43:G43 F31:G31 F33:G41 F12:G15" evalError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919EB124-7851-426F-A9E7-44ADC7398D1E}">
            <xm:f>Inputs!$N$3=5</xm:f>
            <x14:dxf>
              <font>
                <color theme="1"/>
              </font>
            </x14:dxf>
          </x14:cfRule>
          <xm:sqref>F4:F12 F14:F34</xm:sqref>
        </x14:conditionalFormatting>
        <x14:conditionalFormatting xmlns:xm="http://schemas.microsoft.com/office/excel/2006/main">
          <x14:cfRule type="expression" priority="3" id="{611D91E6-88BD-4906-B4FA-5DA1297FB00C}">
            <xm:f>Inputs!$N$3=6</xm:f>
            <x14:dxf>
              <font>
                <color theme="1"/>
              </font>
            </x14:dxf>
          </x14:cfRule>
          <xm:sqref>F4:G12 F14:G34</xm:sqref>
        </x14:conditionalFormatting>
        <x14:conditionalFormatting xmlns:xm="http://schemas.microsoft.com/office/excel/2006/main">
          <x14:cfRule type="expression" priority="2" id="{27343498-DB1D-4F6C-894F-1B64B7D7571B}">
            <xm:f>Inputs!$G$3=0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I18:J18</xm:sqref>
        </x14:conditionalFormatting>
        <x14:conditionalFormatting xmlns:xm="http://schemas.microsoft.com/office/excel/2006/main">
          <x14:cfRule type="expression" priority="1" id="{3017D6D3-04DC-45AB-8B80-5797947E8F3B}">
            <xm:f>Inputs!$G$4=0</xm:f>
            <x14:dxf>
              <font>
                <color theme="0"/>
              </font>
              <border>
                <left/>
                <right/>
                <top/>
                <bottom/>
                <vertical/>
                <horizontal/>
              </border>
            </x14:dxf>
          </x14:cfRule>
          <xm:sqref>I19:J19</xm:sqref>
        </x14:conditionalFormatting>
      </x14:conditionalFormattings>
    </ex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enableFormatConditionsCalculation="0"/>
  <dimension ref="A1:AM51"/>
  <sheetViews>
    <sheetView showGridLines="0" zoomScale="70" zoomScaleNormal="70" zoomScaleSheetLayoutView="80" zoomScalePageLayoutView="7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L29" sqref="L29"/>
    </sheetView>
  </sheetViews>
  <sheetFormatPr baseColWidth="10" defaultColWidth="7.33203125" defaultRowHeight="14" x14ac:dyDescent="0"/>
  <cols>
    <col min="1" max="1" width="60.5" customWidth="1"/>
    <col min="2" max="6" width="5.6640625" customWidth="1"/>
    <col min="7" max="7" width="1.6640625" customWidth="1"/>
    <col min="8" max="12" width="5.6640625" customWidth="1"/>
    <col min="13" max="13" width="1.5" customWidth="1"/>
    <col min="14" max="18" width="5.6640625" customWidth="1"/>
    <col min="19" max="19" width="1.6640625" customWidth="1"/>
    <col min="20" max="24" width="5.6640625" customWidth="1"/>
    <col min="25" max="25" width="1.5" customWidth="1"/>
    <col min="26" max="30" width="5.6640625" customWidth="1"/>
    <col min="31" max="31" width="1.6640625" customWidth="1"/>
    <col min="32" max="36" width="5.6640625" customWidth="1"/>
    <col min="37" max="37" width="5.33203125" customWidth="1"/>
    <col min="38" max="38" width="3.5" customWidth="1"/>
  </cols>
  <sheetData>
    <row r="1" spans="1:39" ht="14" customHeight="1" thickBot="1">
      <c r="A1" s="438" t="s">
        <v>203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439"/>
      <c r="S1" s="439"/>
      <c r="T1" s="439"/>
      <c r="U1" s="439"/>
      <c r="V1" s="439"/>
      <c r="W1" s="439"/>
      <c r="X1" s="439"/>
      <c r="Y1" s="439"/>
      <c r="Z1" s="439"/>
      <c r="AA1" s="439"/>
      <c r="AB1" s="439"/>
      <c r="AC1" s="439"/>
      <c r="AD1" s="439"/>
      <c r="AE1" s="439"/>
      <c r="AF1" s="439"/>
      <c r="AG1" s="439"/>
      <c r="AH1" s="439"/>
      <c r="AI1" s="439"/>
      <c r="AJ1" s="439"/>
      <c r="AK1" s="299"/>
      <c r="AL1" s="299"/>
    </row>
    <row r="2" spans="1:39" ht="14" customHeight="1" thickTop="1">
      <c r="A2" s="441" t="s">
        <v>3</v>
      </c>
      <c r="B2" s="437" t="s">
        <v>8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  <c r="T2" s="437"/>
      <c r="U2" s="437"/>
      <c r="V2" s="437"/>
      <c r="W2" s="437"/>
      <c r="X2" s="437"/>
      <c r="Y2" s="437"/>
      <c r="Z2" s="437"/>
      <c r="AA2" s="437"/>
      <c r="AB2" s="437"/>
      <c r="AC2" s="437"/>
      <c r="AD2" s="437"/>
      <c r="AE2" s="437"/>
      <c r="AF2" s="437"/>
      <c r="AG2" s="437"/>
      <c r="AH2" s="437"/>
      <c r="AI2" s="437"/>
      <c r="AJ2" s="437"/>
      <c r="AK2" s="278"/>
      <c r="AL2" s="16"/>
    </row>
    <row r="3" spans="1:39" ht="14" customHeight="1">
      <c r="A3" s="442"/>
      <c r="B3" s="440">
        <v>1</v>
      </c>
      <c r="C3" s="440"/>
      <c r="D3" s="440"/>
      <c r="E3" s="440"/>
      <c r="F3" s="440"/>
      <c r="G3" s="308"/>
      <c r="H3" s="440">
        <v>2</v>
      </c>
      <c r="I3" s="440"/>
      <c r="J3" s="440"/>
      <c r="K3" s="440"/>
      <c r="L3" s="440"/>
      <c r="M3" s="308"/>
      <c r="N3" s="440">
        <v>3</v>
      </c>
      <c r="O3" s="440"/>
      <c r="P3" s="440"/>
      <c r="Q3" s="440"/>
      <c r="R3" s="440"/>
      <c r="S3" s="308"/>
      <c r="T3" s="440">
        <v>4</v>
      </c>
      <c r="U3" s="440"/>
      <c r="V3" s="440"/>
      <c r="W3" s="440"/>
      <c r="X3" s="440"/>
      <c r="Y3" s="308"/>
      <c r="Z3" s="436">
        <v>5</v>
      </c>
      <c r="AA3" s="436"/>
      <c r="AB3" s="436"/>
      <c r="AC3" s="436"/>
      <c r="AD3" s="436"/>
      <c r="AE3" s="309"/>
      <c r="AF3" s="436">
        <v>6</v>
      </c>
      <c r="AG3" s="436"/>
      <c r="AH3" s="436"/>
      <c r="AI3" s="436"/>
      <c r="AJ3" s="436"/>
      <c r="AK3" s="146"/>
      <c r="AL3" s="271"/>
    </row>
    <row r="4" spans="1:39" ht="14" customHeight="1">
      <c r="A4" s="295" t="s">
        <v>154</v>
      </c>
      <c r="B4" s="281">
        <f>Inputs!$K$7</f>
        <v>0</v>
      </c>
      <c r="C4" s="281">
        <f>Inputs!$K$7</f>
        <v>0</v>
      </c>
      <c r="D4" s="281">
        <f>Inputs!$K$7</f>
        <v>0</v>
      </c>
      <c r="E4" s="281">
        <f>Inputs!$K$7</f>
        <v>0</v>
      </c>
      <c r="F4" s="281">
        <f>Inputs!$K$7</f>
        <v>0</v>
      </c>
      <c r="G4" s="281"/>
      <c r="H4" s="281">
        <f>Inputs!$K$8</f>
        <v>0</v>
      </c>
      <c r="I4" s="281">
        <f>Inputs!$K$8</f>
        <v>0</v>
      </c>
      <c r="J4" s="281">
        <f>Inputs!$K$8</f>
        <v>0</v>
      </c>
      <c r="K4" s="281">
        <f>Inputs!$K$8</f>
        <v>0</v>
      </c>
      <c r="L4" s="281">
        <f>Inputs!$K$8</f>
        <v>0</v>
      </c>
      <c r="M4" s="281"/>
      <c r="N4" s="281">
        <f>Inputs!$K$9</f>
        <v>0</v>
      </c>
      <c r="O4" s="281">
        <f>Inputs!$K$9</f>
        <v>0</v>
      </c>
      <c r="P4" s="281">
        <f>Inputs!$K$9</f>
        <v>0</v>
      </c>
      <c r="Q4" s="281">
        <f>Inputs!$K$9</f>
        <v>0</v>
      </c>
      <c r="R4" s="281">
        <f>Inputs!$K$9</f>
        <v>0</v>
      </c>
      <c r="S4" s="281"/>
      <c r="T4" s="281">
        <f>Inputs!$K$10</f>
        <v>0</v>
      </c>
      <c r="U4" s="281">
        <f>Inputs!$K$10</f>
        <v>0</v>
      </c>
      <c r="V4" s="281">
        <f>Inputs!$K$10</f>
        <v>0</v>
      </c>
      <c r="W4" s="281">
        <f>Inputs!$K$10</f>
        <v>0</v>
      </c>
      <c r="X4" s="281">
        <f>Inputs!$K$10</f>
        <v>0</v>
      </c>
      <c r="Y4" s="281"/>
      <c r="Z4" s="282">
        <f>Inputs!$K$11</f>
        <v>0</v>
      </c>
      <c r="AA4" s="282">
        <f>Inputs!$K$11</f>
        <v>0</v>
      </c>
      <c r="AB4" s="282">
        <f>Inputs!$K$11</f>
        <v>0</v>
      </c>
      <c r="AC4" s="282">
        <f>Inputs!$K$11</f>
        <v>0</v>
      </c>
      <c r="AD4" s="282">
        <f>Inputs!$K$11</f>
        <v>0</v>
      </c>
      <c r="AE4" s="260"/>
      <c r="AF4" s="282">
        <f>Inputs!$K$12</f>
        <v>0</v>
      </c>
      <c r="AG4" s="282">
        <f>Inputs!$K$12</f>
        <v>0</v>
      </c>
      <c r="AH4" s="282">
        <f>Inputs!$K$12</f>
        <v>0</v>
      </c>
      <c r="AI4" s="282">
        <f>Inputs!$K$12</f>
        <v>0</v>
      </c>
      <c r="AJ4" s="282">
        <f>Inputs!$K$12</f>
        <v>0</v>
      </c>
      <c r="AK4" s="260"/>
      <c r="AL4" s="107"/>
      <c r="AM4" s="15"/>
    </row>
    <row r="5" spans="1:39" ht="14" customHeight="1">
      <c r="A5" s="295" t="s">
        <v>155</v>
      </c>
      <c r="B5" s="283">
        <f>Inputs!$L$7</f>
        <v>0</v>
      </c>
      <c r="C5" s="283">
        <f>Inputs!$L$7</f>
        <v>0</v>
      </c>
      <c r="D5" s="283">
        <f>Inputs!$L$7</f>
        <v>0</v>
      </c>
      <c r="E5" s="283">
        <f>Inputs!$L$7</f>
        <v>0</v>
      </c>
      <c r="F5" s="283">
        <f>Inputs!$L$7</f>
        <v>0</v>
      </c>
      <c r="G5" s="283"/>
      <c r="H5" s="283">
        <f>Inputs!$L$8</f>
        <v>0</v>
      </c>
      <c r="I5" s="283">
        <f>Inputs!$L$8</f>
        <v>0</v>
      </c>
      <c r="J5" s="283">
        <f>Inputs!$L$8</f>
        <v>0</v>
      </c>
      <c r="K5" s="283">
        <f>Inputs!$L$8</f>
        <v>0</v>
      </c>
      <c r="L5" s="283">
        <f>Inputs!$L$8</f>
        <v>0</v>
      </c>
      <c r="M5" s="283"/>
      <c r="N5" s="283">
        <f>Inputs!$L$9</f>
        <v>0</v>
      </c>
      <c r="O5" s="283">
        <f>Inputs!$L$9</f>
        <v>0</v>
      </c>
      <c r="P5" s="283">
        <f>Inputs!$L$9</f>
        <v>0</v>
      </c>
      <c r="Q5" s="283">
        <f>Inputs!$L$9</f>
        <v>0</v>
      </c>
      <c r="R5" s="283">
        <f>Inputs!$L$9</f>
        <v>0</v>
      </c>
      <c r="S5" s="283"/>
      <c r="T5" s="283">
        <f>Inputs!$L$10</f>
        <v>0</v>
      </c>
      <c r="U5" s="283">
        <f>Inputs!$L$10</f>
        <v>0</v>
      </c>
      <c r="V5" s="283">
        <f>Inputs!$L$10</f>
        <v>0</v>
      </c>
      <c r="W5" s="283">
        <f>Inputs!$L$10</f>
        <v>0</v>
      </c>
      <c r="X5" s="283">
        <f>Inputs!$L$10</f>
        <v>0</v>
      </c>
      <c r="Y5" s="283"/>
      <c r="Z5" s="284">
        <f>Inputs!$L$11</f>
        <v>0</v>
      </c>
      <c r="AA5" s="284">
        <f>Inputs!$L$11</f>
        <v>0</v>
      </c>
      <c r="AB5" s="284">
        <f>Inputs!$L$11</f>
        <v>0</v>
      </c>
      <c r="AC5" s="284">
        <f>Inputs!$L$11</f>
        <v>0</v>
      </c>
      <c r="AD5" s="284">
        <f>Inputs!$L$11</f>
        <v>0</v>
      </c>
      <c r="AE5" s="165"/>
      <c r="AF5" s="284">
        <f>Inputs!$L$12</f>
        <v>0</v>
      </c>
      <c r="AG5" s="284">
        <f>Inputs!$L$12</f>
        <v>0</v>
      </c>
      <c r="AH5" s="284">
        <f>Inputs!$L$12</f>
        <v>0</v>
      </c>
      <c r="AI5" s="284">
        <f>Inputs!$L$12</f>
        <v>0</v>
      </c>
      <c r="AJ5" s="284">
        <f>Inputs!$L$12</f>
        <v>0</v>
      </c>
      <c r="AK5" s="165"/>
      <c r="AL5" s="108"/>
      <c r="AM5" s="15"/>
    </row>
    <row r="6" spans="1:39" ht="14" customHeight="1">
      <c r="A6" s="295" t="s">
        <v>156</v>
      </c>
      <c r="B6" s="285">
        <f>Inputs!$X$5</f>
        <v>0</v>
      </c>
      <c r="C6" s="285">
        <f>Inputs!$X$6</f>
        <v>0</v>
      </c>
      <c r="D6" s="285">
        <f>Inputs!$X$7</f>
        <v>0</v>
      </c>
      <c r="E6" s="285">
        <f>Inputs!$X$8</f>
        <v>0</v>
      </c>
      <c r="F6" s="285">
        <f>Inputs!$X$9</f>
        <v>0</v>
      </c>
      <c r="G6" s="285"/>
      <c r="H6" s="285">
        <f>Inputs!$X$10</f>
        <v>0</v>
      </c>
      <c r="I6" s="285">
        <f>Inputs!$X$11</f>
        <v>0</v>
      </c>
      <c r="J6" s="285">
        <f>Inputs!$X$12</f>
        <v>0</v>
      </c>
      <c r="K6" s="285">
        <f>Inputs!$X$13</f>
        <v>0</v>
      </c>
      <c r="L6" s="285">
        <f>Inputs!$X$14</f>
        <v>0</v>
      </c>
      <c r="M6" s="285"/>
      <c r="N6" s="285">
        <f>Inputs!$X$16</f>
        <v>0</v>
      </c>
      <c r="O6" s="285">
        <f>Inputs!$X$17</f>
        <v>0</v>
      </c>
      <c r="P6" s="285">
        <f>Inputs!$X$18</f>
        <v>0</v>
      </c>
      <c r="Q6" s="285">
        <f>Inputs!$X$19</f>
        <v>0</v>
      </c>
      <c r="R6" s="285">
        <f>Inputs!$X$20</f>
        <v>0</v>
      </c>
      <c r="S6" s="285"/>
      <c r="T6" s="285">
        <f>Inputs!$X$21</f>
        <v>0</v>
      </c>
      <c r="U6" s="285">
        <f>Inputs!$X$22</f>
        <v>0</v>
      </c>
      <c r="V6" s="285">
        <f>Inputs!$X$23</f>
        <v>0</v>
      </c>
      <c r="W6" s="285">
        <f>Inputs!$X$24</f>
        <v>0</v>
      </c>
      <c r="X6" s="285">
        <f>Inputs!$X$25</f>
        <v>0</v>
      </c>
      <c r="Y6" s="285"/>
      <c r="Z6" s="285">
        <f>Inputs!$X$26</f>
        <v>0</v>
      </c>
      <c r="AA6" s="285">
        <f>Inputs!$X$27</f>
        <v>0</v>
      </c>
      <c r="AB6" s="285">
        <f>Inputs!$X$28</f>
        <v>0</v>
      </c>
      <c r="AC6" s="285">
        <f>Inputs!$X$29</f>
        <v>0</v>
      </c>
      <c r="AD6" s="285">
        <f>Inputs!$X$30</f>
        <v>0</v>
      </c>
      <c r="AE6" s="261"/>
      <c r="AF6" s="285">
        <f>Inputs!$X$31</f>
        <v>0</v>
      </c>
      <c r="AG6" s="285">
        <f>Inputs!$X$32</f>
        <v>0</v>
      </c>
      <c r="AH6" s="285">
        <f>Inputs!$X$33</f>
        <v>0</v>
      </c>
      <c r="AI6" s="285">
        <f>Inputs!$X$34</f>
        <v>0</v>
      </c>
      <c r="AJ6" s="285">
        <f>Inputs!$X$35</f>
        <v>0</v>
      </c>
      <c r="AK6" s="261"/>
      <c r="AL6" s="110"/>
      <c r="AM6" s="15"/>
    </row>
    <row r="7" spans="1:39" ht="14" customHeight="1">
      <c r="A7" s="295" t="s">
        <v>157</v>
      </c>
      <c r="B7" s="283">
        <f>IF(B6&gt;=Inputs!$X$9,Inputs!$Z$9*Fixed_Weight_Validations!B6+Inputs!$AA$9,IF(Fixed_Weight_Validations!B6&gt;=Inputs!$X$8,Inputs!$Z$8*Fixed_Weight_Validations!B6+Inputs!$AA$8,IF(Fixed_Weight_Validations!B6&gt;=Inputs!$X$7,Inputs!$Z$7*Fixed_Weight_Validations!B6+Inputs!$AA$7,IF(Fixed_Weight_Validations!B6&gt;=Inputs!$X$6,Inputs!$Z$6*Fixed_Weight_Validations!B6+Inputs!$AA$6,IF(Fixed_Weight_Validations!B6&gt;=Inputs!$X$5,Inputs!$Z$5*Fixed_Weight_Validations!B6+Inputs!$AA$5,0)))))</f>
        <v>0</v>
      </c>
      <c r="C7" s="283">
        <f>IF(C6&gt;=Inputs!$X$9,Inputs!$Z$9*Fixed_Weight_Validations!C6+Inputs!$AA$9,IF(Fixed_Weight_Validations!C6&gt;=Inputs!$X$8,Inputs!$Z$8*Fixed_Weight_Validations!C6+Inputs!$AA$8,IF(Fixed_Weight_Validations!C6&gt;=Inputs!$X$7,Inputs!$Z$7*Fixed_Weight_Validations!C6+Inputs!$AA$7,IF(Fixed_Weight_Validations!C6&gt;=Inputs!$X$6,Inputs!$Z$6*Fixed_Weight_Validations!C6+Inputs!$AA$6,IF(Fixed_Weight_Validations!C6&gt;=Inputs!$X$5,Inputs!$Z$5*Fixed_Weight_Validations!C6+Inputs!$AA$5,0)))))</f>
        <v>0</v>
      </c>
      <c r="D7" s="283">
        <f>IF(D6&gt;=Inputs!$X$9,Inputs!$Z$9*Fixed_Weight_Validations!D6+Inputs!$AA$9,IF(Fixed_Weight_Validations!D6&gt;=Inputs!$X$8,Inputs!$Z$8*Fixed_Weight_Validations!D6+Inputs!$AA$8,IF(Fixed_Weight_Validations!D6&gt;=Inputs!$X$7,Inputs!$Z$7*Fixed_Weight_Validations!D6+Inputs!$AA$7,IF(Fixed_Weight_Validations!D6&gt;=Inputs!$X$6,Inputs!$Z$6*Fixed_Weight_Validations!D6+Inputs!$AA$6,IF(Fixed_Weight_Validations!D6&gt;=Inputs!$X$5,Inputs!$Z$5*Fixed_Weight_Validations!D6+Inputs!$AA$5,0)))))</f>
        <v>0</v>
      </c>
      <c r="E7" s="283">
        <f>IF(E6&gt;=Inputs!$X$9,Inputs!$Z$9*Fixed_Weight_Validations!E6+Inputs!$AA$9,IF(Fixed_Weight_Validations!E6&gt;=Inputs!$X$8,Inputs!$Z$8*Fixed_Weight_Validations!E6+Inputs!$AA$8,IF(Fixed_Weight_Validations!E6&gt;=Inputs!$X$7,Inputs!$Z$7*Fixed_Weight_Validations!E6+Inputs!$AA$7,IF(Fixed_Weight_Validations!E6&gt;=Inputs!$X$6,Inputs!$Z$6*Fixed_Weight_Validations!E6+Inputs!$AA$6,IF(Fixed_Weight_Validations!E6&gt;=Inputs!$X$5,Inputs!$Z$5*Fixed_Weight_Validations!E6+Inputs!$AA$5,0)))))</f>
        <v>0</v>
      </c>
      <c r="F7" s="283">
        <f>IF(F6&gt;=Inputs!$X$9,Inputs!$Z$9*Fixed_Weight_Validations!F6+Inputs!$AA$9,IF(Fixed_Weight_Validations!F6&gt;=Inputs!$X$8,Inputs!$Z$8*Fixed_Weight_Validations!F6+Inputs!$AA$8,IF(Fixed_Weight_Validations!F6&gt;=Inputs!$X$7,Inputs!$Z$7*Fixed_Weight_Validations!F6+Inputs!$AA$7,IF(Fixed_Weight_Validations!F6&gt;=Inputs!$X$6,Inputs!$Z$6*Fixed_Weight_Validations!F6+Inputs!$AA$6,IF(Fixed_Weight_Validations!F6&gt;=Inputs!$X$5,Inputs!$Z$5*Fixed_Weight_Validations!F6+Inputs!$AA$5,0)))))</f>
        <v>0</v>
      </c>
      <c r="G7" s="283"/>
      <c r="H7" s="283">
        <f>IF(H6&gt;=Inputs!$X$14,Inputs!$Z$14*Fixed_Weight_Validations!H6+Inputs!$AA$14,IF(Fixed_Weight_Validations!H6&gt;=Inputs!$X$13,Inputs!$Z$13*Fixed_Weight_Validations!H6+Inputs!$AA$13,IF(Fixed_Weight_Validations!H6&gt;=Inputs!$X$12,Inputs!$Z$12*Fixed_Weight_Validations!H6+Inputs!$AA$12,IF(Fixed_Weight_Validations!H6&gt;=Inputs!$X$11,Inputs!$Z$11*Fixed_Weight_Validations!H6+Inputs!$AA$11,IF(Fixed_Weight_Validations!H6&gt;=Inputs!$X$10,Inputs!$Z$10*Fixed_Weight_Validations!H6+Inputs!$AA$10,0)))))</f>
        <v>0</v>
      </c>
      <c r="I7" s="283">
        <f>IF(I6&gt;=Inputs!$X$14,Inputs!$Z$14*Fixed_Weight_Validations!I6+Inputs!$AA$14,IF(Fixed_Weight_Validations!I6&gt;=Inputs!$X$13,Inputs!$Z$13*Fixed_Weight_Validations!I6+Inputs!$AA$13,IF(Fixed_Weight_Validations!I6&gt;=Inputs!$X$12,Inputs!$Z$12*Fixed_Weight_Validations!I6+Inputs!$AA$12,IF(Fixed_Weight_Validations!I6&gt;=Inputs!$X$11,Inputs!$Z$11*Fixed_Weight_Validations!I6+Inputs!$AA$11,IF(Fixed_Weight_Validations!I6&gt;=Inputs!$X$10,Inputs!$Z$10*Fixed_Weight_Validations!I6+Inputs!$AA$10,0)))))</f>
        <v>0</v>
      </c>
      <c r="J7" s="283">
        <f>IF(J6&gt;=Inputs!$X$14,Inputs!$Z$14*Fixed_Weight_Validations!J6+Inputs!$AA$14,IF(Fixed_Weight_Validations!J6&gt;=Inputs!$X$13,Inputs!$Z$13*Fixed_Weight_Validations!J6+Inputs!$AA$13,IF(Fixed_Weight_Validations!J6&gt;=Inputs!$X$12,Inputs!$Z$12*Fixed_Weight_Validations!J6+Inputs!$AA$12,IF(Fixed_Weight_Validations!J6&gt;=Inputs!$X$11,Inputs!$Z$11*Fixed_Weight_Validations!J6+Inputs!$AA$11,IF(Fixed_Weight_Validations!J6&gt;=Inputs!$X$10,Inputs!$Z$10*Fixed_Weight_Validations!J6+Inputs!$AA$10,0)))))</f>
        <v>0</v>
      </c>
      <c r="K7" s="283">
        <f>IF(K6&gt;=Inputs!$X$14,Inputs!$Z$14*Fixed_Weight_Validations!K6+Inputs!$AA$14,IF(Fixed_Weight_Validations!K6&gt;=Inputs!$X$13,Inputs!$Z$13*Fixed_Weight_Validations!K6+Inputs!$AA$13,IF(Fixed_Weight_Validations!K6&gt;=Inputs!$X$12,Inputs!$Z$12*Fixed_Weight_Validations!K6+Inputs!$AA$12,IF(Fixed_Weight_Validations!K6&gt;=Inputs!$X$11,Inputs!$Z$11*Fixed_Weight_Validations!K6+Inputs!$AA$11,IF(Fixed_Weight_Validations!K6&gt;=Inputs!$X$10,Inputs!$Z$10*Fixed_Weight_Validations!K6+Inputs!$AA$10,0)))))</f>
        <v>0</v>
      </c>
      <c r="L7" s="283">
        <f>IF(L6&gt;=Inputs!$X$14,Inputs!$Z$14*Fixed_Weight_Validations!L6+Inputs!$AA$14,IF(Fixed_Weight_Validations!L6&gt;=Inputs!$X$13,Inputs!$Z$13*Fixed_Weight_Validations!L6+Inputs!$AA$13,IF(Fixed_Weight_Validations!L6&gt;=Inputs!$X$12,Inputs!$Z$12*Fixed_Weight_Validations!L6+Inputs!$AA$12,IF(Fixed_Weight_Validations!L6&gt;=Inputs!$X$11,Inputs!$Z$11*Fixed_Weight_Validations!L6+Inputs!$AA$11,IF(Fixed_Weight_Validations!L6&gt;=Inputs!$X$10,Inputs!$Z$10*Fixed_Weight_Validations!L6+Inputs!$AA$10,0)))))</f>
        <v>0</v>
      </c>
      <c r="M7" s="283"/>
      <c r="N7" s="283">
        <f>VLOOKUP(N6,Inputs!$J$32:$L$36,2,FALSE)</f>
        <v>0</v>
      </c>
      <c r="O7" s="283">
        <f>VLOOKUP(O6,Inputs!$J$32:$L$36,2,FALSE)</f>
        <v>0</v>
      </c>
      <c r="P7" s="283">
        <f>VLOOKUP(P6,Inputs!$J$32:$L$36,2,FALSE)</f>
        <v>0</v>
      </c>
      <c r="Q7" s="283">
        <f>VLOOKUP(Q6,Inputs!$J$32:$L$36,2,FALSE)</f>
        <v>0</v>
      </c>
      <c r="R7" s="283">
        <f>VLOOKUP(R6,Inputs!$J$32:$L$36,2,FALSE)</f>
        <v>0</v>
      </c>
      <c r="S7" s="283"/>
      <c r="T7" s="283">
        <f>VLOOKUP(T6,Inputs!$J$37:$L$41,2,FALSE)</f>
        <v>0</v>
      </c>
      <c r="U7" s="283">
        <f>VLOOKUP(U6,Inputs!$J$37:$L$41,2,FALSE)</f>
        <v>0</v>
      </c>
      <c r="V7" s="283">
        <f>VLOOKUP(V6,Inputs!$J$37:$L$41,2,FALSE)</f>
        <v>0</v>
      </c>
      <c r="W7" s="283">
        <f>VLOOKUP(W6,Inputs!$J$37:$L$41,2,FALSE)</f>
        <v>0</v>
      </c>
      <c r="X7" s="283">
        <f>VLOOKUP(X6,Inputs!$J$37:$L$41,2,FALSE)</f>
        <v>0</v>
      </c>
      <c r="Y7" s="283"/>
      <c r="Z7" s="284">
        <f>VLOOKUP(Z6,Inputs!$J$42:$L$46,2,FALSE)</f>
        <v>0</v>
      </c>
      <c r="AA7" s="284">
        <f>VLOOKUP(AA6,Inputs!$J$42:$L$46,2,FALSE)</f>
        <v>0</v>
      </c>
      <c r="AB7" s="284">
        <f>VLOOKUP(AB6,Inputs!$J$42:$L$46,2,FALSE)</f>
        <v>0</v>
      </c>
      <c r="AC7" s="284">
        <f>VLOOKUP(AC6,Inputs!$J$42:$L$46,2,FALSE)</f>
        <v>0</v>
      </c>
      <c r="AD7" s="284">
        <f>VLOOKUP(AD6,Inputs!$J$42:$L$46,2,FALSE)</f>
        <v>0</v>
      </c>
      <c r="AE7" s="165"/>
      <c r="AF7" s="284">
        <f>VLOOKUP(AF6,Inputs!$J$47:$L$51,2,FALSE)</f>
        <v>0</v>
      </c>
      <c r="AG7" s="284">
        <f>VLOOKUP(AG6,Inputs!$J$47:$L$51,2,FALSE)</f>
        <v>0</v>
      </c>
      <c r="AH7" s="284">
        <f>VLOOKUP(AH6,Inputs!$J$47:$L$51,2,FALSE)</f>
        <v>0</v>
      </c>
      <c r="AI7" s="284">
        <f>VLOOKUP(AI6,Inputs!$J$47:$L$51,2,FALSE)</f>
        <v>0</v>
      </c>
      <c r="AJ7" s="284">
        <f>VLOOKUP(AJ6,Inputs!$J$47:$L$51,2,FALSE)</f>
        <v>0</v>
      </c>
      <c r="AK7" s="165"/>
      <c r="AL7" s="108"/>
      <c r="AM7" s="15"/>
    </row>
    <row r="8" spans="1:39" ht="14" customHeight="1">
      <c r="A8" s="295" t="s">
        <v>158</v>
      </c>
      <c r="B8" s="286" t="s">
        <v>171</v>
      </c>
      <c r="C8" s="286" t="s">
        <v>171</v>
      </c>
      <c r="D8" s="286" t="s">
        <v>171</v>
      </c>
      <c r="E8" s="286" t="s">
        <v>171</v>
      </c>
      <c r="F8" s="286" t="s">
        <v>171</v>
      </c>
      <c r="G8" s="286"/>
      <c r="H8" s="286" t="s">
        <v>171</v>
      </c>
      <c r="I8" s="286" t="s">
        <v>171</v>
      </c>
      <c r="J8" s="286" t="s">
        <v>171</v>
      </c>
      <c r="K8" s="286" t="s">
        <v>171</v>
      </c>
      <c r="L8" s="286" t="s">
        <v>171</v>
      </c>
      <c r="M8" s="286"/>
      <c r="N8" s="283">
        <f>VLOOKUP(N6,Inputs!$J$32:$L$36,3,FALSE)</f>
        <v>0</v>
      </c>
      <c r="O8" s="283">
        <f>VLOOKUP(O6,Inputs!$J$32:$L$36,3,FALSE)</f>
        <v>0</v>
      </c>
      <c r="P8" s="283">
        <f>VLOOKUP(P6,Inputs!$J$32:$L$36,3,FALSE)</f>
        <v>0</v>
      </c>
      <c r="Q8" s="283">
        <f>VLOOKUP(Q6,Inputs!$J$32:$L$36,3,FALSE)</f>
        <v>0</v>
      </c>
      <c r="R8" s="283">
        <f>VLOOKUP(R6,Inputs!$J$32:$L$36,3,FALSE)</f>
        <v>0</v>
      </c>
      <c r="S8" s="283"/>
      <c r="T8" s="283">
        <f>VLOOKUP(T6,Inputs!$J$37:$L$41,3,FALSE)</f>
        <v>0</v>
      </c>
      <c r="U8" s="283">
        <f>VLOOKUP(U6,Inputs!$J$37:$L$41,3,FALSE)</f>
        <v>0</v>
      </c>
      <c r="V8" s="283">
        <f>VLOOKUP(V6,Inputs!$J$37:$L$41,3,FALSE)</f>
        <v>0</v>
      </c>
      <c r="W8" s="283">
        <f>VLOOKUP(W6,Inputs!$J$37:$L$41,3,FALSE)</f>
        <v>0</v>
      </c>
      <c r="X8" s="283">
        <f>VLOOKUP(X6,Inputs!$J$37:$L$41,3,FALSE)</f>
        <v>0</v>
      </c>
      <c r="Y8" s="283"/>
      <c r="Z8" s="284">
        <f>VLOOKUP(Z6,Inputs!$J$42:$L$46,3,FALSE)</f>
        <v>0</v>
      </c>
      <c r="AA8" s="284">
        <f>VLOOKUP(AA6,Inputs!$J$42:$L$46,3,FALSE)</f>
        <v>0</v>
      </c>
      <c r="AB8" s="284">
        <f>VLOOKUP(AB6,Inputs!$J$42:$L$46,3,FALSE)</f>
        <v>0</v>
      </c>
      <c r="AC8" s="284">
        <f>VLOOKUP(AC6,Inputs!$J$42:$L$46,3,FALSE)</f>
        <v>0</v>
      </c>
      <c r="AD8" s="284">
        <f>VLOOKUP(AD6,Inputs!$J$42:$L$46,3,FALSE)</f>
        <v>0</v>
      </c>
      <c r="AE8" s="165"/>
      <c r="AF8" s="284">
        <f>VLOOKUP(AF6,Inputs!$J$47:$L$51,3,FALSE)</f>
        <v>0</v>
      </c>
      <c r="AG8" s="284">
        <f>VLOOKUP(AG6,Inputs!$J$47:$L$51,3,FALSE)</f>
        <v>0</v>
      </c>
      <c r="AH8" s="284">
        <f>VLOOKUP(AH6,Inputs!$J$47:$L$51,3,FALSE)</f>
        <v>0</v>
      </c>
      <c r="AI8" s="284">
        <f>VLOOKUP(AI6,Inputs!$J$47:$L$51,3,FALSE)</f>
        <v>0</v>
      </c>
      <c r="AJ8" s="284">
        <f>VLOOKUP(AJ6,Inputs!$J$47:$L$51,3,FALSE)</f>
        <v>0</v>
      </c>
      <c r="AK8" s="165"/>
      <c r="AL8" s="108"/>
      <c r="AM8" s="15"/>
    </row>
    <row r="9" spans="1:39" s="61" customFormat="1" ht="14" customHeight="1">
      <c r="A9" s="298" t="s">
        <v>86</v>
      </c>
      <c r="B9" s="296">
        <f>IF(Inputs!$BR$7&gt;Inputs!$BR$6,Inputs!$BM$7*Fixed_Weight_Validations!B6^3+Inputs!$BN$7*Fixed_Weight_Validations!B6^2+Inputs!$BO$7*Fixed_Weight_Validations!B6+Inputs!$BP$7,IF(Inputs!$BR$6&gt;Inputs!$BR$5,Inputs!$BM$6*Fixed_Weight_Validations!B6^2+Inputs!$BN$6*Fixed_Weight_Validations!B6+Inputs!$BO$6,IF(Inputs!$BR$5&gt;Inputs!$BR$7,Inputs!$BM$5*Fixed_Weight_Validations!B6+Inputs!$BN$5,0)))</f>
        <v>0</v>
      </c>
      <c r="C9" s="296">
        <f>IF(Inputs!$BR$7&gt;Inputs!$BR$6,Inputs!$BM$7*Fixed_Weight_Validations!C6^3+Inputs!$BN$7*Fixed_Weight_Validations!C6^2+Inputs!$BO$7*Fixed_Weight_Validations!C6+Inputs!$BP$7,IF(Inputs!$BR$6&gt;Inputs!$BR$5,Inputs!$BM$6*Fixed_Weight_Validations!C6^2+Inputs!$BN$6*Fixed_Weight_Validations!C6+Inputs!$BO$6,IF(Inputs!$BR$5&gt;Inputs!$BR$7,Inputs!$BM$5*Fixed_Weight_Validations!C6+Inputs!$BN$5,0)))</f>
        <v>0</v>
      </c>
      <c r="D9" s="296">
        <f>IF(Inputs!$BR$7&gt;Inputs!$BR$6,Inputs!$BM$7*Fixed_Weight_Validations!D6^3+Inputs!$BN$7*Fixed_Weight_Validations!D6^2+Inputs!$BO$7*Fixed_Weight_Validations!D6+Inputs!$BP$7,IF(Inputs!$BR$6&gt;Inputs!$BR$5,Inputs!$BM$6*Fixed_Weight_Validations!D6^2+Inputs!$BN$6*Fixed_Weight_Validations!D6+Inputs!$BO$6,IF(Inputs!$BR$5&gt;Inputs!$BR$7,Inputs!$BM$5*Fixed_Weight_Validations!D6+Inputs!$BN$5,0)))</f>
        <v>0</v>
      </c>
      <c r="E9" s="296">
        <f>IF(Inputs!$BR$7&gt;Inputs!$BR$6,Inputs!$BM$7*Fixed_Weight_Validations!E6^3+Inputs!$BN$7*Fixed_Weight_Validations!E6^2+Inputs!$BO$7*Fixed_Weight_Validations!E6+Inputs!$BP$7,IF(Inputs!$BR$6&gt;Inputs!$BR$5,Inputs!$BM$6*Fixed_Weight_Validations!E6^2+Inputs!$BN$6*Fixed_Weight_Validations!E6+Inputs!$BO$6,IF(Inputs!$BR$5&gt;Inputs!$BR$7,Inputs!$BM$5*Fixed_Weight_Validations!E6+Inputs!$BN$5,0)))</f>
        <v>0</v>
      </c>
      <c r="F9" s="296">
        <f>IF(Inputs!$BR$7&gt;Inputs!$BR$6,Inputs!$BM$7*Fixed_Weight_Validations!F6^3+Inputs!$BN$7*Fixed_Weight_Validations!F6^2+Inputs!$BO$7*Fixed_Weight_Validations!F6+Inputs!$BP$7,IF(Inputs!$BR$6&gt;Inputs!$BR$5,Inputs!$BM$6*Fixed_Weight_Validations!F6^2+Inputs!$BN$6*Fixed_Weight_Validations!F6+Inputs!$BO$6,IF(Inputs!$BR$5&gt;Inputs!$BR$7,Inputs!$BM$5*Fixed_Weight_Validations!F6+Inputs!$BN$5,0)))</f>
        <v>0</v>
      </c>
      <c r="G9" s="296"/>
      <c r="H9" s="296">
        <f>IF(Inputs!$BR$10&gt;Inputs!$BR$9,Inputs!$BM$10*Fixed_Weight_Validations!H6^3+Inputs!$BN$10*Fixed_Weight_Validations!H6^2+Inputs!$BO$10*Fixed_Weight_Validations!H6+Inputs!$BP$10,IF(Inputs!$BR$6&gt;Inputs!$BR$9,Inputs!$BM$8*Fixed_Weight_Validations!H6^2+Inputs!$BN$9*Fixed_Weight_Validations!H6+Inputs!$BO$9,IF(Inputs!$BR$9&gt;Inputs!$BR$7,Inputs!$BM$10*Fixed_Weight_Validations!H6+Inputs!$BN$10,0)))</f>
        <v>0</v>
      </c>
      <c r="I9" s="296">
        <f>IF(Inputs!$BR$10&gt;Inputs!$BR$9,Inputs!$BM$10*Fixed_Weight_Validations!I6^3+Inputs!$BN$10*Fixed_Weight_Validations!I6^2+Inputs!$BO$10*Fixed_Weight_Validations!I6+Inputs!$BP$10,IF(Inputs!$BR$6&gt;Inputs!$BR$9,Inputs!$BM$8*Fixed_Weight_Validations!I6^2+Inputs!$BN$9*Fixed_Weight_Validations!I6+Inputs!$BO$9,IF(Inputs!$BR$9&gt;Inputs!$BR$7,Inputs!$BM$10*Fixed_Weight_Validations!I6+Inputs!$BN$10,0)))</f>
        <v>0</v>
      </c>
      <c r="J9" s="296">
        <f>IF(Inputs!$BR$10&gt;Inputs!$BR$9,Inputs!$BM$10*Fixed_Weight_Validations!J6^3+Inputs!$BN$10*Fixed_Weight_Validations!J6^2+Inputs!$BO$10*Fixed_Weight_Validations!J6+Inputs!$BP$10,IF(Inputs!$BR$6&gt;Inputs!$BR$9,Inputs!$BM$8*Fixed_Weight_Validations!J6^2+Inputs!$BN$9*Fixed_Weight_Validations!J6+Inputs!$BO$9,IF(Inputs!$BR$9&gt;Inputs!$BR$7,Inputs!$BM$10*Fixed_Weight_Validations!J6+Inputs!$BN$10,0)))</f>
        <v>0</v>
      </c>
      <c r="K9" s="296">
        <f>IF(Inputs!$BR$10&gt;Inputs!$BR$9,Inputs!$BM$10*Fixed_Weight_Validations!K6^3+Inputs!$BN$10*Fixed_Weight_Validations!K6^2+Inputs!$BO$10*Fixed_Weight_Validations!K6+Inputs!$BP$10,IF(Inputs!$BR$6&gt;Inputs!$BR$9,Inputs!$BM$8*Fixed_Weight_Validations!K6^2+Inputs!$BN$9*Fixed_Weight_Validations!K6+Inputs!$BO$9,IF(Inputs!$BR$9&gt;Inputs!$BR$7,Inputs!$BM$10*Fixed_Weight_Validations!K6+Inputs!$BN$10,0)))</f>
        <v>0</v>
      </c>
      <c r="L9" s="296">
        <f>IF(Inputs!$BR$10&gt;Inputs!$BR$9,Inputs!$BM$10*Fixed_Weight_Validations!L6^3+Inputs!$BN$10*Fixed_Weight_Validations!L6^2+Inputs!$BO$10*Fixed_Weight_Validations!L6+Inputs!$BP$10,IF(Inputs!$BR$6&gt;Inputs!$BR$9,Inputs!$BM$8*Fixed_Weight_Validations!L6^2+Inputs!$BN$9*Fixed_Weight_Validations!L6+Inputs!$BO$9,IF(Inputs!$BR$9&gt;Inputs!$BR$7,Inputs!$BM$10*Fixed_Weight_Validations!L6+Inputs!$BN$10,0)))</f>
        <v>0</v>
      </c>
      <c r="M9" s="296"/>
      <c r="N9" s="296">
        <f>IF(Inputs!$BR$13&gt;Inputs!$BR$12,Inputs!$BM$13*Fixed_Weight_Validations!N6^3+Inputs!$BN$13*Fixed_Weight_Validations!N6^2+Inputs!$BO$13*Fixed_Weight_Validations!N6+Inputs!$BP$13,IF(Inputs!$BR$12&gt;Inputs!$BR$11,Inputs!$BM$12*Fixed_Weight_Validations!N6^2+Inputs!$BN$12*Fixed_Weight_Validations!N6+Inputs!$BO$12,IF(Inputs!$BR$11&gt;Inputs!$BR$13,Inputs!$BM$5*Fixed_Weight_Validations!N6+Inputs!$BN$11,0)))</f>
        <v>0</v>
      </c>
      <c r="O9" s="296">
        <f>IF(Inputs!$BR$13&gt;Inputs!$BR$12,Inputs!$BM$13*Fixed_Weight_Validations!O6^3+Inputs!$BN$13*Fixed_Weight_Validations!O6^2+Inputs!$BO$13*Fixed_Weight_Validations!O6+Inputs!$BP$13,IF(Inputs!$BR$12&gt;Inputs!$BR$11,Inputs!$BM$12*Fixed_Weight_Validations!O6^2+Inputs!$BN$12*Fixed_Weight_Validations!O6+Inputs!$BO$12,IF(Inputs!$BR$11&gt;Inputs!$BR$13,Inputs!$BM$5*Fixed_Weight_Validations!O6+Inputs!$BN$11,0)))</f>
        <v>0</v>
      </c>
      <c r="P9" s="296">
        <f>IF(Inputs!$BR$13&gt;Inputs!$BR$12,Inputs!$BM$13*Fixed_Weight_Validations!P6^3+Inputs!$BN$13*Fixed_Weight_Validations!P6^2+Inputs!$BO$13*Fixed_Weight_Validations!P6+Inputs!$BP$13,IF(Inputs!$BR$12&gt;Inputs!$BR$11,Inputs!$BM$12*Fixed_Weight_Validations!P6^2+Inputs!$BN$12*Fixed_Weight_Validations!P6+Inputs!$BO$12,IF(Inputs!$BR$11&gt;Inputs!$BR$13,Inputs!$BM$5*Fixed_Weight_Validations!P6+Inputs!$BN$11,0)))</f>
        <v>0</v>
      </c>
      <c r="Q9" s="296">
        <f>IF(Inputs!$BR$13&gt;Inputs!$BR$12,Inputs!$BM$13*Fixed_Weight_Validations!Q6^3+Inputs!$BN$13*Fixed_Weight_Validations!Q6^2+Inputs!$BO$13*Fixed_Weight_Validations!Q6+Inputs!$BP$13,IF(Inputs!$BR$12&gt;Inputs!$BR$11,Inputs!$BM$12*Fixed_Weight_Validations!Q6^2+Inputs!$BN$12*Fixed_Weight_Validations!Q6+Inputs!$BO$12,IF(Inputs!$BR$11&gt;Inputs!$BR$13,Inputs!$BM$5*Fixed_Weight_Validations!Q6+Inputs!$BN$11,0)))</f>
        <v>0</v>
      </c>
      <c r="R9" s="296">
        <f>IF(Inputs!$BR$13&gt;Inputs!$BR$12,Inputs!$BM$13*Fixed_Weight_Validations!R6^3+Inputs!$BN$13*Fixed_Weight_Validations!R6^2+Inputs!$BO$13*Fixed_Weight_Validations!R6+Inputs!$BP$13,IF(Inputs!$BR$12&gt;Inputs!$BR$11,Inputs!$BM$12*Fixed_Weight_Validations!R6^2+Inputs!$BN$12*Fixed_Weight_Validations!R6+Inputs!$BO$12,IF(Inputs!$BR$11&gt;Inputs!$BR$13,Inputs!$BM$5*Fixed_Weight_Validations!R6+Inputs!$BN$11,0)))</f>
        <v>0</v>
      </c>
      <c r="S9" s="296"/>
      <c r="T9" s="296">
        <f>IF(Inputs!$BR$17&gt;Inputs!$BR$16,Inputs!$BM$17*Fixed_Weight_Validations!T6^3+Inputs!$BN$17*Fixed_Weight_Validations!T6^2+Inputs!$BO$17*Fixed_Weight_Validations!T6+Inputs!$BP$17,IF(Inputs!$BR$16&gt;Inputs!$BR$14,Inputs!$BM$16*Fixed_Weight_Validations!T6^2+Inputs!$BN$16*Fixed_Weight_Validations!T6+Inputs!$BO$16,IF(Inputs!$BR$14&gt;Inputs!$BR$17,Inputs!$BM$14*Fixed_Weight_Validations!T6+Inputs!$BN$14,0)))</f>
        <v>0</v>
      </c>
      <c r="U9" s="296">
        <f>IF(Inputs!$BR$17&gt;Inputs!$BR$16,Inputs!$BM$17*Fixed_Weight_Validations!U6^3+Inputs!$BN$17*Fixed_Weight_Validations!U6^2+Inputs!$BO$17*Fixed_Weight_Validations!U6+Inputs!$BP$17,IF(Inputs!$BR$16&gt;Inputs!$BR$14,Inputs!$BM$16*Fixed_Weight_Validations!U6^2+Inputs!$BN$16*Fixed_Weight_Validations!U6+Inputs!$BO$16,IF(Inputs!$BR$14&gt;Inputs!$BR$17,Inputs!$BM$14*Fixed_Weight_Validations!U6+Inputs!$BN$14,0)))</f>
        <v>0</v>
      </c>
      <c r="V9" s="296">
        <f>IF(Inputs!$BR$17&gt;Inputs!$BR$16,Inputs!$BM$17*Fixed_Weight_Validations!V6^3+Inputs!$BN$17*Fixed_Weight_Validations!V6^2+Inputs!$BO$17*Fixed_Weight_Validations!V6+Inputs!$BP$17,IF(Inputs!$BR$16&gt;Inputs!$BR$14,Inputs!$BM$16*Fixed_Weight_Validations!V6^2+Inputs!$BN$16*Fixed_Weight_Validations!V6+Inputs!$BO$16,IF(Inputs!$BR$14&gt;Inputs!$BR$17,Inputs!$BM$14*Fixed_Weight_Validations!V6+Inputs!$BN$14,0)))</f>
        <v>0</v>
      </c>
      <c r="W9" s="296">
        <f>IF(Inputs!$BR$17&gt;Inputs!$BR$16,Inputs!$BM$17*Fixed_Weight_Validations!W6^3+Inputs!$BN$17*Fixed_Weight_Validations!W6^2+Inputs!$BO$17*Fixed_Weight_Validations!W6+Inputs!$BP$17,IF(Inputs!$BR$16&gt;Inputs!$BR$14,Inputs!$BM$16*Fixed_Weight_Validations!W6^2+Inputs!$BN$16*Fixed_Weight_Validations!W6+Inputs!$BO$16,IF(Inputs!$BR$14&gt;Inputs!$BR$17,Inputs!$BM$14*Fixed_Weight_Validations!W6+Inputs!$BN$14,0)))</f>
        <v>0</v>
      </c>
      <c r="X9" s="296">
        <f>IF(Inputs!$BR$17&gt;Inputs!$BR$16,Inputs!$BM$17*Fixed_Weight_Validations!X6^3+Inputs!$BN$17*Fixed_Weight_Validations!X6^2+Inputs!$BO$17*Fixed_Weight_Validations!X6+Inputs!$BP$17,IF(Inputs!$BR$16&gt;Inputs!$BR$14,Inputs!$BM$16*Fixed_Weight_Validations!X6^2+Inputs!$BN$16*Fixed_Weight_Validations!X6+Inputs!$BO$16,IF(Inputs!$BR$14&gt;Inputs!$BR$17,Inputs!$BM$14*Fixed_Weight_Validations!X6+Inputs!$BN$14,0)))</f>
        <v>0</v>
      </c>
      <c r="Y9" s="296"/>
      <c r="Z9" s="296">
        <f>IF(Inputs!$BR$20&gt;Inputs!$BR$19,Inputs!$BM$20*Fixed_Weight_Validations!Z6^3+Inputs!$BN$20*Fixed_Weight_Validations!Z6^2+Inputs!$BO$20*Fixed_Weight_Validations!Z6+Inputs!$BP$20,IF(Inputs!$BR$19&gt;Inputs!$BR$18,Inputs!$BM$19*Fixed_Weight_Validations!Z6^2+Inputs!$BN$19*Fixed_Weight_Validations!Z6+Inputs!$BO$19,IF(Inputs!$BR$18&gt;Inputs!$BR$20,Inputs!$BM$18*Fixed_Weight_Validations!Z6+Inputs!$BN$18,0)))</f>
        <v>0</v>
      </c>
      <c r="AA9" s="296">
        <f>IF(Inputs!$BR$20&gt;Inputs!$BR$19,Inputs!$BM$20*Fixed_Weight_Validations!AA6^3+Inputs!$BN$20*Fixed_Weight_Validations!AA6^2+Inputs!$BO$20*Fixed_Weight_Validations!AA6+Inputs!$BP$20,IF(Inputs!$BR$19&gt;Inputs!$BR$18,Inputs!$BM$19*Fixed_Weight_Validations!AA6^2+Inputs!$BN$19*Fixed_Weight_Validations!AA6+Inputs!$BO$19,IF(Inputs!$BR$18&gt;Inputs!$BR$20,Inputs!$BM$18*Fixed_Weight_Validations!AA6+Inputs!$BN$18,0)))</f>
        <v>0</v>
      </c>
      <c r="AB9" s="296">
        <f>IF(Inputs!$BR$20&gt;Inputs!$BR$19,Inputs!$BM$20*Fixed_Weight_Validations!AB6^3+Inputs!$BN$20*Fixed_Weight_Validations!AB6^2+Inputs!$BO$20*Fixed_Weight_Validations!AB6+Inputs!$BP$20,IF(Inputs!$BR$19&gt;Inputs!$BR$18,Inputs!$BM$19*Fixed_Weight_Validations!AB6^2+Inputs!$BN$19*Fixed_Weight_Validations!AB6+Inputs!$BO$19,IF(Inputs!$BR$18&gt;Inputs!$BR$20,Inputs!$BM$18*Fixed_Weight_Validations!AB6+Inputs!$BN$18,0)))</f>
        <v>0</v>
      </c>
      <c r="AC9" s="296">
        <f>IF(Inputs!$BR$20&gt;Inputs!$BR$19,Inputs!$BM$20*Fixed_Weight_Validations!AC6^3+Inputs!$BN$20*Fixed_Weight_Validations!AC6^2+Inputs!$BO$20*Fixed_Weight_Validations!AC6+Inputs!$BP$20,IF(Inputs!$BR$19&gt;Inputs!$BR$18,Inputs!$BM$19*Fixed_Weight_Validations!AC6^2+Inputs!$BN$19*Fixed_Weight_Validations!AC6+Inputs!$BO$19,IF(Inputs!$BR$18&gt;Inputs!$BR$20,Inputs!$BM$18*Fixed_Weight_Validations!AC6+Inputs!$BN$18,0)))</f>
        <v>0</v>
      </c>
      <c r="AD9" s="296">
        <f>IF(Inputs!$BR$20&gt;Inputs!$BR$19,Inputs!$BM$20*Fixed_Weight_Validations!AD6^3+Inputs!$BN$20*Fixed_Weight_Validations!AD6^2+Inputs!$BO$20*Fixed_Weight_Validations!AD6+Inputs!$BP$20,IF(Inputs!$BR$19&gt;Inputs!$BR$18,Inputs!$BM$19*Fixed_Weight_Validations!AD6^2+Inputs!$BN$19*Fixed_Weight_Validations!AD6+Inputs!$BO$19,IF(Inputs!$BR$18&gt;Inputs!$BR$20,Inputs!$BM$18*Fixed_Weight_Validations!AD6+Inputs!$BN$18,0)))</f>
        <v>0</v>
      </c>
      <c r="AE9" s="297"/>
      <c r="AF9" s="296">
        <f>IF(Inputs!$BR$23&gt;Inputs!$BR$22,Inputs!$BM$23*Fixed_Weight_Validations!AF6^3+Inputs!$BN$23*Fixed_Weight_Validations!AF6^2+Inputs!$BO$23*Fixed_Weight_Validations!AF6+Inputs!$BP$23,IF(Inputs!$BR$22&gt;Inputs!$BR$21,Inputs!$BM$22*Fixed_Weight_Validations!AF6^2+Inputs!$BN$22*Fixed_Weight_Validations!AF6+Inputs!$BO$22,IF(Inputs!$BR$21&gt;Inputs!$BR$23,Inputs!$BM$21*Fixed_Weight_Validations!AF6+Inputs!$BN$21,0)))</f>
        <v>0</v>
      </c>
      <c r="AG9" s="296">
        <f>IF(Inputs!$BR$23&gt;Inputs!$BR$22,Inputs!$BM$23*Fixed_Weight_Validations!AG6^3+Inputs!$BN$23*Fixed_Weight_Validations!AG6^2+Inputs!$BO$23*Fixed_Weight_Validations!AG6+Inputs!$BP$23,IF(Inputs!$BR$22&gt;Inputs!$BR$21,Inputs!$BM$22*Fixed_Weight_Validations!AG6^2+Inputs!$BN$22*Fixed_Weight_Validations!AG6+Inputs!$BO$22,IF(Inputs!$BR$21&gt;Inputs!$BR$23,Inputs!$BM$21*Fixed_Weight_Validations!AG6+Inputs!$BN$21,0)))</f>
        <v>0</v>
      </c>
      <c r="AH9" s="296">
        <f>IF(Inputs!$BR$23&gt;Inputs!$BR$22,Inputs!$BM$23*Fixed_Weight_Validations!AH6^3+Inputs!$BN$23*Fixed_Weight_Validations!AH6^2+Inputs!$BO$23*Fixed_Weight_Validations!AH6+Inputs!$BP$23,IF(Inputs!$BR$22&gt;Inputs!$BR$21,Inputs!$BM$22*Fixed_Weight_Validations!AH6^2+Inputs!$BN$22*Fixed_Weight_Validations!AH6+Inputs!$BO$22,IF(Inputs!$BR$21&gt;Inputs!$BR$23,Inputs!$BM$21*Fixed_Weight_Validations!AH6+Inputs!$BN$21,0)))</f>
        <v>0</v>
      </c>
      <c r="AI9" s="296">
        <f>IF(Inputs!$BR$23&gt;Inputs!$BR$22,Inputs!$BM$23*Fixed_Weight_Validations!AI6^3+Inputs!$BN$23*Fixed_Weight_Validations!AI6^2+Inputs!$BO$23*Fixed_Weight_Validations!AI6+Inputs!$BP$23,IF(Inputs!$BR$22&gt;Inputs!$BR$21,Inputs!$BM$22*Fixed_Weight_Validations!AI6^2+Inputs!$BN$22*Fixed_Weight_Validations!AI6+Inputs!$BO$22,IF(Inputs!$BR$21&gt;Inputs!$BR$23,Inputs!$BM$21*Fixed_Weight_Validations!AI6+Inputs!$BN$21,0)))</f>
        <v>0</v>
      </c>
      <c r="AJ9" s="296">
        <f>IF(Inputs!$BR$23&gt;Inputs!$BR$22,Inputs!$BM$23*Fixed_Weight_Validations!AJ6^3+Inputs!$BN$23*Fixed_Weight_Validations!AJ6^2+Inputs!$BO$23*Fixed_Weight_Validations!AJ6+Inputs!$BP$23,IF(Inputs!$BR$22&gt;Inputs!$BR$21,Inputs!$BM$22*Fixed_Weight_Validations!AJ6^2+Inputs!$BN$22*Fixed_Weight_Validations!AJ6+Inputs!$BO$22,IF(Inputs!$BR$21&gt;Inputs!$BR$23,Inputs!$BM$21*Fixed_Weight_Validations!AJ6+Inputs!$BN$21,0)))</f>
        <v>0</v>
      </c>
      <c r="AK9" s="167"/>
      <c r="AL9" s="109"/>
      <c r="AM9" s="79"/>
    </row>
    <row r="10" spans="1:39" ht="14" customHeight="1">
      <c r="A10" s="295" t="s">
        <v>159</v>
      </c>
      <c r="B10" s="287">
        <f>IF(Inputs!$H$19=1,((0.1135*(B6*2.2046))+(8.8142*(AVERAGE(B4:B5)/2.2046))-(0.05068*(AVERAGE(B4:B5)/2.2046))*(AVERAGE(B4:B5)/2.2046)+275.99),IF(Inputs!$H$19=2,((-0.1004*(B6*2.2046))+(1.6744*(AVERAGE(B4:B5)/2.2046))-(289.56*B9)+(0.1918*(B6*2.2046*B9))+836.56),0))</f>
        <v>275.99</v>
      </c>
      <c r="C10" s="287">
        <f>IF(Inputs!$H$19=1,((0.1135*(C6*2.2046))+(8.8142*(AVERAGE(C4:C5)/2.2046))-(0.05068*(AVERAGE(C4:C5)/2.2046))*(AVERAGE(C4:C5)/2.2046)+275.99),IF(Inputs!$H$19=2,((-0.1004*(C6*2.2046))+(1.6744*(AVERAGE(C4:C5)/2.2046))-(289.56*C9)+(0.1918*(C6*2.2046*C9))+836.56),0))</f>
        <v>275.99</v>
      </c>
      <c r="D10" s="287">
        <f>IF(Inputs!$H$19=1,((0.1135*(D6*2.2046))+(8.8142*(AVERAGE(D4:D5)/2.2046))-(0.05068*(AVERAGE(D4:D5)/2.2046))*(AVERAGE(D4:D5)/2.2046)+275.99),IF(Inputs!$H$19=2,((-0.1004*(D6*2.2046))+(1.6744*(AVERAGE(D4:D5)/2.2046))-(289.56*D9)+(0.1918*(D6*2.2046*D9))+836.56),0))</f>
        <v>275.99</v>
      </c>
      <c r="E10" s="287">
        <f>IF(Inputs!$H$19=1,((0.1135*(E6*2.2046))+(8.8142*(AVERAGE(E4:E5)/2.2046))-(0.05068*(AVERAGE(E4:E5)/2.2046))*(AVERAGE(E4:E5)/2.2046)+275.99),IF(Inputs!$H$19=2,((-0.1004*(E6*2.2046))+(1.6744*(AVERAGE(E4:E5)/2.2046))-(289.56*E9)+(0.1918*(E6*2.2046*E9))+836.56),0))</f>
        <v>275.99</v>
      </c>
      <c r="F10" s="287">
        <f>IF(Inputs!$H$19=1,((0.1135*(F6*2.2046))+(8.8142*(AVERAGE(F4:F5)/2.2046))-(0.05068*(AVERAGE(F4:F5)/2.2046))*(AVERAGE(F4:F5)/2.2046)+275.99),IF(Inputs!$H$19=2,((-0.1004*(F6*2.2046))+(1.6744*(AVERAGE(F4:F5)/2.2046))-(289.56*F9)+(0.1918*(F6*2.2046*F9))+836.56),0))</f>
        <v>275.99</v>
      </c>
      <c r="G10" s="287"/>
      <c r="H10" s="287">
        <f>IF(Inputs!$H$19=1,((0.1135*(H6*2.2046))+(8.8142*(AVERAGE(H4:H5)/2.2046))-(0.05068*(AVERAGE(H4:H5)/2.2046))*(AVERAGE(H4:H5)/2.2046)+275.99),IF(Inputs!$H$19=2,((-0.1004*(H6*2.2046))+(1.6744*(AVERAGE(H4:H5)/2.2046))-(289.56*H9)+(0.1918*(H6*2.2046*H9))+836.56),0))</f>
        <v>275.99</v>
      </c>
      <c r="I10" s="287">
        <f>IF(Inputs!$H$19=1,((0.1135*(I6*2.2046))+(8.8142*(AVERAGE(I4:I5)/2.2046))-(0.05068*(AVERAGE(I4:I5)/2.2046))*(AVERAGE(I4:I5)/2.2046)+275.99),IF(Inputs!$H$19=2,((-0.1004*(I6*2.2046))+(1.6744*(AVERAGE(I4:I5)/2.2046))-(289.56*I9)+(0.1918*(I6*2.2046*I9))+836.56),0))</f>
        <v>275.99</v>
      </c>
      <c r="J10" s="287">
        <f>IF(Inputs!$H$19=1,((0.1135*(J6*2.2046))+(8.8142*(AVERAGE(J4:J5)/2.2046))-(0.05068*(AVERAGE(J4:J5)/2.2046))*(AVERAGE(J4:J5)/2.2046)+275.99),IF(Inputs!$H$19=2,((-0.1004*(J6*2.2046))+(1.6744*(AVERAGE(J4:J5)/2.2046))-(289.56*J9)+(0.1918*(J6*2.2046*J9))+836.56),0))</f>
        <v>275.99</v>
      </c>
      <c r="K10" s="287">
        <f>IF(Inputs!$H$19=1,((0.1135*(K6*2.2046))+(8.8142*(AVERAGE(K4:K5)/2.2046))-(0.05068*(AVERAGE(K4:K5)/2.2046))*(AVERAGE(K4:K5)/2.2046)+275.99),IF(Inputs!$H$19=2,((-0.1004*(K6*2.2046))+(1.6744*(AVERAGE(K4:K5)/2.2046))-(289.56*K9)+(0.1918*(K6*2.2046*K9))+836.56),0))</f>
        <v>275.99</v>
      </c>
      <c r="L10" s="287">
        <f>IF(Inputs!$H$19=1,((0.1135*(L6*2.2046))+(8.8142*(AVERAGE(L4:L5)/2.2046))-(0.05068*(AVERAGE(L4:L5)/2.2046))*(AVERAGE(L4:L5)/2.2046)+275.99),IF(Inputs!$H$19=2,((-0.1004*(L6*2.2046))+(1.6744*(AVERAGE(L4:L5)/2.2046))-(289.56*L9)+(0.1918*(L6*2.2046*L9))+836.56),0))</f>
        <v>275.99</v>
      </c>
      <c r="M10" s="287"/>
      <c r="N10" s="287">
        <f>IF(Inputs!$H$19=1,((0.1135*(N6*2.2046))+(8.8142*(AVERAGE(N4:N5)/2.2046))-(0.05068*(AVERAGE(N4:N5)/2.2046))*(AVERAGE(N4:N5)/2.2046)+275.99),IF(Inputs!$H$19=2,((-0.1004*(N6*2.2046))+(1.6744*(AVERAGE(N4:N5)/2.2046))-(289.56*N9)+(0.1918*(N6*2.2046*N9))+836.56),0))</f>
        <v>275.99</v>
      </c>
      <c r="O10" s="287">
        <f>IF(Inputs!$H$19=1,((0.1135*(O6*2.2046))+(8.8142*(AVERAGE(O4:O5)/2.2046))-(0.05068*(AVERAGE(O4:O5)/2.2046))*(AVERAGE(O4:O5)/2.2046)+275.99),IF(Inputs!$H$19=2,((-0.1004*(O6*2.2046))+(1.6744*(AVERAGE(O4:O5)/2.2046))-(289.56*O9)+(0.1918*(O6*2.2046*O9))+836.56),0))</f>
        <v>275.99</v>
      </c>
      <c r="P10" s="287">
        <f>IF(Inputs!$H$19=1,((0.1135*(P6*2.2046))+(8.8142*(AVERAGE(P4:P5)/2.2046))-(0.05068*(AVERAGE(P4:P5)/2.2046))*(AVERAGE(P4:P5)/2.2046)+275.99),IF(Inputs!$H$19=2,((-0.1004*(P6*2.2046))+(1.6744*(AVERAGE(P4:P5)/2.2046))-(289.56*P9)+(0.1918*(P6*2.2046*P9))+836.56),0))</f>
        <v>275.99</v>
      </c>
      <c r="Q10" s="287">
        <f>IF(Inputs!$H$19=1,((0.1135*(Q6*2.2046))+(8.8142*(AVERAGE(Q4:Q5)/2.2046))-(0.05068*(AVERAGE(Q4:Q5)/2.2046))*(AVERAGE(Q4:Q5)/2.2046)+275.99),IF(Inputs!$H$19=2,((-0.1004*(Q6*2.2046))+(1.6744*(AVERAGE(Q4:Q5)/2.2046))-(289.56*Q9)+(0.1918*(Q6*2.2046*Q9))+836.56),0))</f>
        <v>275.99</v>
      </c>
      <c r="R10" s="287">
        <f>IF(Inputs!$H$19=1,((0.1135*(R6*2.2046))+(8.8142*(AVERAGE(R4:R5)/2.2046))-(0.05068*(AVERAGE(R4:R5)/2.2046))*(AVERAGE(R4:R5)/2.2046)+275.99),IF(Inputs!$H$19=2,((-0.1004*(R6*2.2046))+(1.6744*(AVERAGE(R4:R5)/2.2046))-(289.56*R9)+(0.1918*(R6*2.2046*R9))+836.56),0))</f>
        <v>275.99</v>
      </c>
      <c r="S10" s="287"/>
      <c r="T10" s="287">
        <f>IF(Inputs!$H$19=1,((0.1135*(T6*2.2046))+(8.8142*(AVERAGE(T4:T5)/2.2046))-(0.05068*(AVERAGE(T4:T5)/2.2046))*(AVERAGE(T4:T5)/2.2046)+275.99),IF(Inputs!$H$19=2,((-0.1004*(T6*2.2046))+(1.6744*(AVERAGE(T4:T5)/2.2046))-(289.56*T9)+(0.1918*(T6*2.2046*T9))+836.56),0))</f>
        <v>275.99</v>
      </c>
      <c r="U10" s="287">
        <f>IF(Inputs!$H$19=1,((0.1135*(U6*2.2046))+(8.8142*(AVERAGE(U4:U5)/2.2046))-(0.05068*(AVERAGE(U4:U5)/2.2046))*(AVERAGE(U4:U5)/2.2046)+275.99),IF(Inputs!$H$19=2,((-0.1004*(U6*2.2046))+(1.6744*(AVERAGE(U4:U5)/2.2046))-(289.56*U9)+(0.1918*(U6*2.2046*U9))+836.56),0))</f>
        <v>275.99</v>
      </c>
      <c r="V10" s="287">
        <f>IF(Inputs!$H$19=1,((0.1135*(V6*2.2046))+(8.8142*(AVERAGE(V4:V5)/2.2046))-(0.05068*(AVERAGE(V4:V5)/2.2046))*(AVERAGE(V4:V5)/2.2046)+275.99),IF(Inputs!$H$19=2,((-0.1004*(V6*2.2046))+(1.6744*(AVERAGE(V4:V5)/2.2046))-(289.56*V9)+(0.1918*(V6*2.2046*V9))+836.56),0))</f>
        <v>275.99</v>
      </c>
      <c r="W10" s="287">
        <f>IF(Inputs!$H$19=1,((0.1135*(W6*2.2046))+(8.8142*(AVERAGE(W4:W5)/2.2046))-(0.05068*(AVERAGE(W4:W5)/2.2046))*(AVERAGE(W4:W5)/2.2046)+275.99),IF(Inputs!$H$19=2,((-0.1004*(W6*2.2046))+(1.6744*(AVERAGE(W4:W5)/2.2046))-(289.56*W9)+(0.1918*(W6*2.2046*W9))+836.56),0))</f>
        <v>275.99</v>
      </c>
      <c r="X10" s="287">
        <f>IF(Inputs!$H$19=1,((0.1135*(X6*2.2046))+(8.8142*(AVERAGE(X4:X5)/2.2046))-(0.05068*(AVERAGE(X4:X5)/2.2046))*(AVERAGE(X4:X5)/2.2046)+275.99),IF(Inputs!$H$19=2,((-0.1004*(X6*2.2046))+(1.6744*(AVERAGE(X4:X5)/2.2046))-(289.56*X9)+(0.1918*(X6*2.2046*X9))+836.56),0))</f>
        <v>275.99</v>
      </c>
      <c r="Y10" s="287"/>
      <c r="Z10" s="288">
        <f>IF(Inputs!$H$19=1,((0.1135*(Z6*2.2046))+(8.8142*(AVERAGE(Z4:Z5)/2.2046))-(0.05068*(AVERAGE(Z4:Z5)/2.2046))*(AVERAGE(Z4:Z5)/2.2046)+275.99),IF(Inputs!$H$19=2,((-0.1004*(Z6*2.2046))+(1.6744*(AVERAGE(Z4:Z5)/2.2046))-(289.56*Z9)+(0.1918*(Z6*2.2046*Z9))+836.56),0))</f>
        <v>275.99</v>
      </c>
      <c r="AA10" s="288">
        <f>IF(Inputs!$H$19=1,((0.1135*(AA6*2.2046))+(8.8142*(AVERAGE(AA4:AA5)/2.2046))-(0.05068*(AVERAGE(AA4:AA5)/2.2046))*(AVERAGE(AA4:AA5)/2.2046)+275.99),IF(Inputs!$H$19=2,((-0.1004*(AA6*2.2046))+(1.6744*(AVERAGE(AA4:AA5)/2.2046))-(289.56*AA9)+(0.1918*(AA6*2.2046*AA9))+836.56),0))</f>
        <v>275.99</v>
      </c>
      <c r="AB10" s="288">
        <f>IF(Inputs!$H$19=1,((0.1135*(AB6*2.2046))+(8.8142*(AVERAGE(AB4:AB5)/2.2046))-(0.05068*(AVERAGE(AB4:AB5)/2.2046))*(AVERAGE(AB4:AB5)/2.2046)+275.99),IF(Inputs!$H$19=2,((-0.1004*(AB6*2.2046))+(1.6744*(AVERAGE(AB4:AB5)/2.2046))-(289.56*AB9)+(0.1918*(AB6*2.2046*AB9))+836.56),0))</f>
        <v>275.99</v>
      </c>
      <c r="AC10" s="288">
        <f>IF(Inputs!$H$19=1,((0.1135*(AC6*2.2046))+(8.8142*(AVERAGE(AC4:AC5)/2.2046))-(0.05068*(AVERAGE(AC4:AC5)/2.2046))*(AVERAGE(AC4:AC5)/2.2046)+275.99),IF(Inputs!$H$19=2,((-0.1004*(AC6*2.2046))+(1.6744*(AVERAGE(AC4:AC5)/2.2046))-(289.56*AC9)+(0.1918*(AC6*2.2046*AC9))+836.56),0))</f>
        <v>275.99</v>
      </c>
      <c r="AD10" s="288">
        <f>IF(Inputs!$H$19=1,((0.1135*(AD6*2.2046))+(8.8142*(AVERAGE(AD4:AD5)/2.2046))-(0.05068*(AVERAGE(AD4:AD5)/2.2046))*(AVERAGE(AD4:AD5)/2.2046)+275.99),IF(Inputs!$H$19=2,((-0.1004*(AD6*2.2046))+(1.6744*(AVERAGE(AD4:AD5)/2.2046))-(289.56*AD9)+(0.1918*(AD6*2.2046*AD9))+836.56),0))</f>
        <v>275.99</v>
      </c>
      <c r="AE10" s="262"/>
      <c r="AF10" s="288">
        <f>IF(Inputs!$H$19=1,((0.1135*(AF6*2.2046))+(8.8142*(AVERAGE(AF4:AF5)/2.2046))-(0.05068*(AVERAGE(AF4:AF5)/2.2046))*(AVERAGE(AF4:AF5)/2.2046)+275.99),IF(Inputs!$H$19=2,((-0.1004*(AF6*2.2046))+(1.6744*(AVERAGE(AF4:AF5)/2.2046))-(289.56*AF9)+(0.1918*(AF6*2.2046*AF9))+836.56),0))</f>
        <v>275.99</v>
      </c>
      <c r="AG10" s="288">
        <f>IF(Inputs!$H$19=1,((0.1135*(AG6*2.2046))+(8.8142*(AVERAGE(AG4:AG5)/2.2046))-(0.05068*(AVERAGE(AG4:AG5)/2.2046))*(AVERAGE(AG4:AG5)/2.2046)+275.99),IF(Inputs!$H$19=2,((-0.1004*(AG6*2.2046))+(1.6744*(AVERAGE(AG4:AG5)/2.2046))-(289.56*AG9)+(0.1918*(AG6*2.2046*AG9))+836.56),0))</f>
        <v>275.99</v>
      </c>
      <c r="AH10" s="288">
        <f>IF(Inputs!$H$19=1,((0.1135*(AH6*2.2046))+(8.8142*(AVERAGE(AH4:AH5)/2.2046))-(0.05068*(AVERAGE(AH4:AH5)/2.2046))*(AVERAGE(AH4:AH5)/2.2046)+275.99),IF(Inputs!$H$19=2,((-0.1004*(AH6*2.2046))+(1.6744*(AVERAGE(AH4:AH5)/2.2046))-(289.56*AH9)+(0.1918*(AH6*2.2046*AH9))+836.56),0))</f>
        <v>275.99</v>
      </c>
      <c r="AI10" s="288">
        <f>IF(Inputs!$H$19=1,((0.1135*(AI6*2.2046))+(8.8142*(AVERAGE(AI4:AI5)/2.2046))-(0.05068*(AVERAGE(AI4:AI5)/2.2046))*(AVERAGE(AI4:AI5)/2.2046)+275.99),IF(Inputs!$H$19=2,((-0.1004*(AI6*2.2046))+(1.6744*(AVERAGE(AI4:AI5)/2.2046))-(289.56*AI9)+(0.1918*(AI6*2.2046*AI9))+836.56),0))</f>
        <v>275.99</v>
      </c>
      <c r="AJ10" s="288">
        <f>IF(Inputs!$H$19=1,((0.1135*(AJ6*2.2046))+(8.8142*(AVERAGE(AJ4:AJ5)/2.2046))-(0.05068*(AVERAGE(AJ4:AJ5)/2.2046))*(AVERAGE(AJ4:AJ5)/2.2046)+275.99),IF(Inputs!$H$19=2,((-0.1004*(AJ6*2.2046))+(1.6744*(AVERAGE(AJ4:AJ5)/2.2046))-(289.56*AJ9)+(0.1918*(AJ6*2.2046*AJ9))+836.56),0))</f>
        <v>275.99</v>
      </c>
      <c r="AK10" s="262"/>
      <c r="AL10" s="108"/>
      <c r="AM10" s="15"/>
    </row>
    <row r="11" spans="1:39" ht="14" customHeight="1">
      <c r="A11" s="295" t="s">
        <v>160</v>
      </c>
      <c r="B11" s="287">
        <f>IF(Inputs!$H$19=1,((0.1135*(Inputs!$M$7*2.2046))+(8.8142*(AVERAGE(B4:B5)/2.2046))-(0.05068*(AVERAGE(B4:B5)/2.2046))*(AVERAGE(B4:B5)/2.2046)+275.99), IF(Inputs!$H$19=2,((-0.1004*(Inputs!$M$7*2.2046))+(1.6744*(AVERAGE(B4:B5)/2.2046))-(289.56*B9)+0.1918*(Inputs!$M$7*2.2046*B9)+836.56),0))</f>
        <v>275.99</v>
      </c>
      <c r="C11" s="287">
        <f>IF(Inputs!$H$19=1,((0.1135*(Inputs!$M$7*2.2046))+(8.8142*(AVERAGE(C4:C5)/2.2046))-(0.05068*(AVERAGE(C4:C5)/2.2046))*(AVERAGE(C4:C5)/2.2046)+275.99), IF(Inputs!$H$19=2,((-0.1004*(Inputs!$M$7*2.2046))+(1.6744*(AVERAGE(C4:C5)/2.2046))-(289.56*C9)+0.1918*(Inputs!$M$7*2.2046*C9)+836.56),0))</f>
        <v>275.99</v>
      </c>
      <c r="D11" s="287">
        <f>IF(Inputs!$H$19=1,((0.1135*(Inputs!$M$7*2.2046))+(8.8142*(AVERAGE(D4:D5)/2.2046))-(0.05068*(AVERAGE(D4:D5)/2.2046))*(AVERAGE(D4:D5)/2.2046)+275.99), IF(Inputs!$H$19=2,((-0.1004*(Inputs!$M$7*2.2046))+(1.6744*(AVERAGE(D4:D5)/2.2046))-(289.56*D9)+0.1918*(Inputs!$M$7*2.2046*D9)+836.56),0))</f>
        <v>275.99</v>
      </c>
      <c r="E11" s="287">
        <f>IF(Inputs!$H$19=1,((0.1135*(Inputs!$M$7*2.2046))+(8.8142*(AVERAGE(E4:E5)/2.2046))-(0.05068*(AVERAGE(E4:E5)/2.2046))*(AVERAGE(E4:E5)/2.2046)+275.99), IF(Inputs!$H$19=2,((-0.1004*(Inputs!$M$7*2.2046))+(1.6744*(AVERAGE(E4:E5)/2.2046))-(289.56*E9)+0.1918*(Inputs!$M$7*2.2046*E9)+836.56),0))</f>
        <v>275.99</v>
      </c>
      <c r="F11" s="287">
        <f>IF(Inputs!$H$19=1,((0.1135*(Inputs!$M$7*2.2046))+(8.8142*(AVERAGE(F4:F5)/2.2046))-(0.05068*(AVERAGE(F4:F5)/2.2046))*(AVERAGE(F4:F5)/2.2046)+275.99), IF(Inputs!$H$19=2,((-0.1004*(Inputs!$M$7*2.2046))+(1.6744*(AVERAGE(F4:F5)/2.2046))-(289.56*F9)+0.1918*(Inputs!$M$7*2.2046*F9)+836.56),0))</f>
        <v>275.99</v>
      </c>
      <c r="G11" s="287"/>
      <c r="H11" s="287">
        <f>IF(Inputs!$H$19=1,((0.1135*(Inputs!$M$8*2.2046))+(8.8142*(AVERAGE(H4:H5)/2.2046))-(0.05068*(AVERAGE(H4:H5)/2.2046))*(AVERAGE(H4:H5)/2.2046)+275.99), IF(Inputs!$H$19=2,((-0.1004*(Inputs!$M$8*2.2046))+(1.6744*(AVERAGE(H4:H5)/2.2046))-(289.56*H9)+0.1918*(Inputs!$M$8*2.2046*H9)+836.56),0))</f>
        <v>275.99</v>
      </c>
      <c r="I11" s="287">
        <f>IF(Inputs!$H$19=1,((0.1135*(Inputs!$M$8*2.2046))+(8.8142*(AVERAGE(I4:I5)/2.2046))-(0.05068*(AVERAGE(I4:I5)/2.2046))*(AVERAGE(I4:I5)/2.2046)+275.99), IF(Inputs!$H$19=2,((-0.1004*(Inputs!$M$8*2.2046))+(1.6744*(AVERAGE(I4:I5)/2.2046))-(289.56*I9)+0.1918*(Inputs!$M$8*2.2046*I9)+836.56),0))</f>
        <v>275.99</v>
      </c>
      <c r="J11" s="287">
        <f>IF(Inputs!$H$19=1,((0.1135*(Inputs!$M$8*2.2046))+(8.8142*(AVERAGE(J4:J5)/2.2046))-(0.05068*(AVERAGE(J4:J5)/2.2046))*(AVERAGE(J4:J5)/2.2046)+275.99), IF(Inputs!$H$19=2,((-0.1004*(Inputs!$M$8*2.2046))+(1.6744*(AVERAGE(J4:J5)/2.2046))-(289.56*J9)+0.1918*(Inputs!$M$8*2.2046*J9)+836.56),0))</f>
        <v>275.99</v>
      </c>
      <c r="K11" s="287">
        <f>IF(Inputs!$H$19=1,((0.1135*(Inputs!$M$8*2.2046))+(8.8142*(AVERAGE(K4:K5)/2.2046))-(0.05068*(AVERAGE(K4:K5)/2.2046))*(AVERAGE(K4:K5)/2.2046)+275.99), IF(Inputs!$H$19=2,((-0.1004*(Inputs!$M$8*2.2046))+(1.6744*(AVERAGE(K4:K5)/2.2046))-(289.56*K9)+0.1918*(Inputs!$M$8*2.2046*K9)+836.56),0))</f>
        <v>275.99</v>
      </c>
      <c r="L11" s="287">
        <f>IF(Inputs!$H$19=1,((0.1135*(Inputs!$M$8*2.2046))+(8.8142*(AVERAGE(L4:L5)/2.2046))-(0.05068*(AVERAGE(L4:L5)/2.2046))*(AVERAGE(L4:L5)/2.2046)+275.99), IF(Inputs!$H$19=2,((-0.1004*(Inputs!$M$8*2.2046))+(1.6744*(AVERAGE(L4:L5)/2.2046))-(289.56*L9)+0.1918*(Inputs!$M$8*2.2046*L9)+836.56),0))</f>
        <v>275.99</v>
      </c>
      <c r="M11" s="287"/>
      <c r="N11" s="287">
        <f>IF(Inputs!$H$19=1,((0.1135*(Inputs!$M$9*2.2046))+(8.8142*(AVERAGE(N4:N5)/2.2046))-(0.05068*(AVERAGE(N4:N5)/2.2046))*(AVERAGE(N4:N5)/2.2046)+275.99), IF(Inputs!$H$19=2,((-0.1004*(Inputs!$M$9*2.2046))+(1.6744*(AVERAGE(N4:N5)/2.2046))-(289.56*N9)+0.1918*(Inputs!$M$9*2.2046*N9)+836.56),0))</f>
        <v>275.99</v>
      </c>
      <c r="O11" s="287">
        <f>IF(Inputs!$H$19=1,((0.1135*(Inputs!$M$9*2.2046))+(8.8142*(AVERAGE(O4:O5)/2.2046))-(0.05068*(AVERAGE(O4:O5)/2.2046))*(AVERAGE(O4:O5)/2.2046)+275.99), IF(Inputs!$H$19=2,((-0.1004*(Inputs!$M$9*2.2046))+(1.6744*(AVERAGE(O4:O5)/2.2046))-(289.56*O9)+0.1918*(Inputs!$M$9*2.2046*O9)+836.56),0))</f>
        <v>275.99</v>
      </c>
      <c r="P11" s="287">
        <f>IF(Inputs!$H$19=1,((0.1135*(Inputs!$M$9*2.2046))+(8.8142*(AVERAGE(P4:P5)/2.2046))-(0.05068*(AVERAGE(P4:P5)/2.2046))*(AVERAGE(P4:P5)/2.2046)+275.99), IF(Inputs!$H$19=2,((-0.1004*(Inputs!$M$9*2.2046))+(1.6744*(AVERAGE(P4:P5)/2.2046))-(289.56*P9)+0.1918*(Inputs!$M$9*2.2046*P9)+836.56),0))</f>
        <v>275.99</v>
      </c>
      <c r="Q11" s="287">
        <f>IF(Inputs!$H$19=1,((0.1135*(Inputs!$M$9*2.2046))+(8.8142*(AVERAGE(Q4:Q5)/2.2046))-(0.05068*(AVERAGE(Q4:Q5)/2.2046))*(AVERAGE(Q4:Q5)/2.2046)+275.99), IF(Inputs!$H$19=2,((-0.1004*(Inputs!$M$9*2.2046))+(1.6744*(AVERAGE(Q4:Q5)/2.2046))-(289.56*Q9)+0.1918*(Inputs!$M$9*2.2046*Q9)+836.56),0))</f>
        <v>275.99</v>
      </c>
      <c r="R11" s="287">
        <f>IF(Inputs!$H$19=1,((0.1135*(Inputs!$M$9*2.2046))+(8.8142*(AVERAGE(R4:R5)/2.2046))-(0.05068*(AVERAGE(R4:R5)/2.2046))*(AVERAGE(R4:R5)/2.2046)+275.99), IF(Inputs!$H$19=2,((-0.1004*(Inputs!$M$9*2.2046))+(1.6744*(AVERAGE(R4:R5)/2.2046))-(289.56*R9)+0.1918*(Inputs!$M$9*2.2046*R9)+836.56),0))</f>
        <v>275.99</v>
      </c>
      <c r="S11" s="287"/>
      <c r="T11" s="287">
        <f>IF(Inputs!$H$19=1,((0.1135*(Inputs!$M$10*2.2046))+(8.8142*(AVERAGE(T4:T5)/2.2046))-(0.05068*(AVERAGE(T4:T5)/2.2046))*(AVERAGE(T4:T5)/2.2046)+275.99), IF(Inputs!$H$19=2,((-0.1004*(Inputs!$M$10*2.2046))+(1.6744*(AVERAGE(T4:T5)/2.2046))-(289.56*T9)+0.1918*(Inputs!$M$10*2.2046*T9)+836.56),0))</f>
        <v>275.99</v>
      </c>
      <c r="U11" s="287">
        <f>IF(Inputs!$H$19=1,((0.1135*(Inputs!$M$10*2.2046))+(8.8142*(AVERAGE(U4:U5)/2.2046))-(0.05068*(AVERAGE(U4:U5)/2.2046))*(AVERAGE(U4:U5)/2.2046)+275.99), IF(Inputs!$H$19=2,((-0.1004*(Inputs!$M$10*2.2046))+(1.6744*(AVERAGE(U4:U5)/2.2046))-(289.56*U9)+0.1918*(Inputs!$M$10*2.2046*U9)+836.56),0))</f>
        <v>275.99</v>
      </c>
      <c r="V11" s="287">
        <f>IF(Inputs!$H$19=1,((0.1135*(Inputs!$M$10*2.2046))+(8.8142*(AVERAGE(V4:V5)/2.2046))-(0.05068*(AVERAGE(V4:V5)/2.2046))*(AVERAGE(V4:V5)/2.2046)+275.99), IF(Inputs!$H$19=2,((-0.1004*(Inputs!$M$10*2.2046))+(1.6744*(AVERAGE(V4:V5)/2.2046))-(289.56*V9)+0.1918*(Inputs!$M$10*2.2046*V9)+836.56),0))</f>
        <v>275.99</v>
      </c>
      <c r="W11" s="287">
        <f>IF(Inputs!$H$19=1,((0.1135*(Inputs!$M$10*2.2046))+(8.8142*(AVERAGE(W4:W5)/2.2046))-(0.05068*(AVERAGE(W4:W5)/2.2046))*(AVERAGE(W4:W5)/2.2046)+275.99), IF(Inputs!$H$19=2,((-0.1004*(Inputs!$M$10*2.2046))+(1.6744*(AVERAGE(W4:W5)/2.2046))-(289.56*W9)+0.1918*(Inputs!$M$10*2.2046*W9)+836.56),0))</f>
        <v>275.99</v>
      </c>
      <c r="X11" s="287">
        <f>IF(Inputs!$H$19=1,((0.1135*(Inputs!$M$10*2.2046))+(8.8142*(AVERAGE(X4:X5)/2.2046))-(0.05068*(AVERAGE(X4:X5)/2.2046))*(AVERAGE(X4:X5)/2.2046)+275.99), IF(Inputs!$H$19=2,((-0.1004*(Inputs!$M$10*2.2046))+(1.6744*(AVERAGE(X4:X5)/2.2046))-(289.56*X9)+0.1918*(Inputs!$M$10*2.2046*X9)+836.56),0))</f>
        <v>275.99</v>
      </c>
      <c r="Y11" s="287"/>
      <c r="Z11" s="288">
        <f>IF(Inputs!$H$19=1,((0.1135*(Inputs!$M$11*2.2046))+(8.8142*(AVERAGE(Z4:Z5)/2.2046))-(0.05068*(AVERAGE(Z4:Z5)/2.2046))*(AVERAGE(Z4:Z5)/2.2046)+275.99), IF(Inputs!$H$19=2,((-0.1004*(Inputs!$M$11*2.2046))+(1.6744*(AVERAGE(Z4:Z5)/2.2046))-(289.56*Z9)+0.1918*(Inputs!$M$11*2.2046*Z9)+836.56),0))</f>
        <v>275.99</v>
      </c>
      <c r="AA11" s="288">
        <f>IF(Inputs!$H$19=1,((0.1135*(Inputs!$M$11*2.2046))+(8.8142*(AVERAGE(AA4:AA5)/2.2046))-(0.05068*(AVERAGE(AA4:AA5)/2.2046))*(AVERAGE(AA4:AA5)/2.2046)+275.99), IF(Inputs!$H$19=2,((-0.1004*(Inputs!$M$11*2.2046))+(1.6744*(AVERAGE(AA4:AA5)/2.2046))-(289.56*AA9)+0.1918*(Inputs!$M$11*2.2046*AA9)+836.56),0))</f>
        <v>275.99</v>
      </c>
      <c r="AB11" s="288">
        <f>IF(Inputs!$H$19=1,((0.1135*(Inputs!$M$11*2.2046))+(8.8142*(AVERAGE(AB4:AB5)/2.2046))-(0.05068*(AVERAGE(AB4:AB5)/2.2046))*(AVERAGE(AB4:AB5)/2.2046)+275.99), IF(Inputs!$H$19=2,((-0.1004*(Inputs!$M$11*2.2046))+(1.6744*(AVERAGE(AB4:AB5)/2.2046))-(289.56*AB9)+0.1918*(Inputs!$M$11*2.2046*AB9)+836.56),0))</f>
        <v>275.99</v>
      </c>
      <c r="AC11" s="288">
        <f>IF(Inputs!$H$19=1,((0.1135*(Inputs!$M$11*2.2046))+(8.8142*(AVERAGE(AC4:AC5)/2.2046))-(0.05068*(AVERAGE(AC4:AC5)/2.2046))*(AVERAGE(AC4:AC5)/2.2046)+275.99), IF(Inputs!$H$19=2,((-0.1004*(Inputs!$M$11*2.2046))+(1.6744*(AVERAGE(AC4:AC5)/2.2046))-(289.56*AC9)+0.1918*(Inputs!$M$11*2.2046*AC9)+836.56),0))</f>
        <v>275.99</v>
      </c>
      <c r="AD11" s="288">
        <f>IF(Inputs!$H$19=1,((0.1135*(Inputs!$M$11*2.2046))+(8.8142*(AVERAGE(AD4:AD5)/2.2046))-(0.05068*(AVERAGE(AD4:AD5)/2.2046))*(AVERAGE(AD4:AD5)/2.2046)+275.99), IF(Inputs!$H$19=2,((-0.1004*(Inputs!$M$11*2.2046))+(1.6744*(AVERAGE(AD4:AD5)/2.2046))-(289.56*AD9)+0.1918*(Inputs!$M$11*2.2046*AD9)+836.56),0))</f>
        <v>275.99</v>
      </c>
      <c r="AE11" s="262"/>
      <c r="AF11" s="288">
        <f>IF(Inputs!$H$19=1,((0.1135*(Inputs!$M$12*2.2046))+(8.8142*(AVERAGE(AF4:AF5)/2.2046))-(0.05068*(AVERAGE(AF4:AF5)/2.2046))*(AVERAGE(AF4:AF5)/2.2046)+275.99), IF(Inputs!$H$19=2,((-0.1004*(Inputs!$M$12*2.2046))+(1.6744*(AVERAGE(AF4:AF5)/2.2046))-(289.56*AF9)+0.1918*(Inputs!$M$12*2.2046*AF9)+836.56),0))</f>
        <v>275.99</v>
      </c>
      <c r="AG11" s="288">
        <f>IF(Inputs!$H$19=1,((0.1135*(Inputs!$M$12*2.2046))+(8.8142*(AVERAGE(AG4:AG5)/2.2046))-(0.05068*(AVERAGE(AG4:AG5)/2.2046))*(AVERAGE(AG4:AG5)/2.2046)+275.99), IF(Inputs!$H$19=2,((-0.1004*(Inputs!$M$12*2.2046))+(1.6744*(AVERAGE(AG4:AG5)/2.2046))-(289.56*AG9)+0.1918*(Inputs!$M$12*2.2046*AG9)+836.56),0))</f>
        <v>275.99</v>
      </c>
      <c r="AH11" s="288">
        <f>IF(Inputs!$H$19=1,((0.1135*(Inputs!$M$12*2.2046))+(8.8142*(AVERAGE(AH4:AH5)/2.2046))-(0.05068*(AVERAGE(AH4:AH5)/2.2046))*(AVERAGE(AH4:AH5)/2.2046)+275.99), IF(Inputs!$H$19=2,((-0.1004*(Inputs!$M$12*2.2046))+(1.6744*(AVERAGE(AH4:AH5)/2.2046))-(289.56*AH9)+0.1918*(Inputs!$M$12*2.2046*AH9)+836.56),0))</f>
        <v>275.99</v>
      </c>
      <c r="AI11" s="288">
        <f>IF(Inputs!$H$19=1,((0.1135*(Inputs!$M$12*2.2046))+(8.8142*(AVERAGE(AI4:AI5)/2.2046))-(0.05068*(AVERAGE(AI4:AI5)/2.2046))*(AVERAGE(AI4:AI5)/2.2046)+275.99), IF(Inputs!$H$19=2,((-0.1004*(Inputs!$M$12*2.2046))+(1.6744*(AVERAGE(AI4:AI5)/2.2046))-(289.56*AI9)+0.1918*(Inputs!$M$12*2.2046*AI9)+836.56),0))</f>
        <v>275.99</v>
      </c>
      <c r="AJ11" s="288">
        <f>IF(Inputs!$H$19=1,((0.1135*(Inputs!$M$12*2.2046))+(8.8142*(AVERAGE(AJ4:AJ5)/2.2046))-(0.05068*(AVERAGE(AJ4:AJ5)/2.2046))*(AVERAGE(AJ4:AJ5)/2.2046)+275.99), IF(Inputs!$H$19=2,((-0.1004*(Inputs!$M$12*2.2046))+(1.6744*(AVERAGE(AJ4:AJ5)/2.2046))-(289.56*AJ9)+0.1918*(Inputs!$M$12*2.2046*AJ9)+836.56),0))</f>
        <v>275.99</v>
      </c>
      <c r="AK11" s="262"/>
      <c r="AL11" s="111"/>
      <c r="AM11" s="65"/>
    </row>
    <row r="12" spans="1:39" ht="14" customHeight="1">
      <c r="A12" s="295" t="s">
        <v>161</v>
      </c>
      <c r="B12" s="287">
        <f>AVERAGE(B4:B5)</f>
        <v>0</v>
      </c>
      <c r="C12" s="287">
        <f t="shared" ref="C12:F12" si="0">AVERAGE(C4:C5)</f>
        <v>0</v>
      </c>
      <c r="D12" s="287">
        <f t="shared" si="0"/>
        <v>0</v>
      </c>
      <c r="E12" s="287">
        <f t="shared" si="0"/>
        <v>0</v>
      </c>
      <c r="F12" s="287">
        <f t="shared" si="0"/>
        <v>0</v>
      </c>
      <c r="G12" s="287"/>
      <c r="H12" s="287">
        <f t="shared" ref="H12:AF12" si="1">AVERAGE(H4:H5)</f>
        <v>0</v>
      </c>
      <c r="I12" s="287">
        <f t="shared" ref="I12:L12" si="2">AVERAGE(I4:I5)</f>
        <v>0</v>
      </c>
      <c r="J12" s="287">
        <f t="shared" si="2"/>
        <v>0</v>
      </c>
      <c r="K12" s="287">
        <f t="shared" si="2"/>
        <v>0</v>
      </c>
      <c r="L12" s="287">
        <f t="shared" si="2"/>
        <v>0</v>
      </c>
      <c r="M12" s="287"/>
      <c r="N12" s="287">
        <f t="shared" si="1"/>
        <v>0</v>
      </c>
      <c r="O12" s="287">
        <f t="shared" ref="O12:R12" si="3">AVERAGE(O4:O5)</f>
        <v>0</v>
      </c>
      <c r="P12" s="287">
        <f t="shared" si="3"/>
        <v>0</v>
      </c>
      <c r="Q12" s="287">
        <f t="shared" si="3"/>
        <v>0</v>
      </c>
      <c r="R12" s="287">
        <f t="shared" si="3"/>
        <v>0</v>
      </c>
      <c r="S12" s="287"/>
      <c r="T12" s="287">
        <f t="shared" si="1"/>
        <v>0</v>
      </c>
      <c r="U12" s="287">
        <f t="shared" ref="U12:X12" si="4">AVERAGE(U4:U5)</f>
        <v>0</v>
      </c>
      <c r="V12" s="287">
        <f t="shared" si="4"/>
        <v>0</v>
      </c>
      <c r="W12" s="287">
        <f t="shared" si="4"/>
        <v>0</v>
      </c>
      <c r="X12" s="287">
        <f t="shared" si="4"/>
        <v>0</v>
      </c>
      <c r="Y12" s="287"/>
      <c r="Z12" s="288">
        <f t="shared" si="1"/>
        <v>0</v>
      </c>
      <c r="AA12" s="288">
        <f t="shared" ref="AA12:AD12" si="5">AVERAGE(AA4:AA5)</f>
        <v>0</v>
      </c>
      <c r="AB12" s="288">
        <f t="shared" si="5"/>
        <v>0</v>
      </c>
      <c r="AC12" s="288">
        <f t="shared" si="5"/>
        <v>0</v>
      </c>
      <c r="AD12" s="288">
        <f t="shared" si="5"/>
        <v>0</v>
      </c>
      <c r="AE12" s="262"/>
      <c r="AF12" s="288">
        <f t="shared" si="1"/>
        <v>0</v>
      </c>
      <c r="AG12" s="288">
        <f t="shared" ref="AG12:AJ12" si="6">AVERAGE(AG4:AG5)</f>
        <v>0</v>
      </c>
      <c r="AH12" s="288">
        <f t="shared" si="6"/>
        <v>0</v>
      </c>
      <c r="AI12" s="288">
        <f t="shared" si="6"/>
        <v>0</v>
      </c>
      <c r="AJ12" s="288">
        <f t="shared" si="6"/>
        <v>0</v>
      </c>
      <c r="AK12" s="262"/>
      <c r="AL12" s="111"/>
    </row>
    <row r="13" spans="1:39" ht="14" customHeight="1">
      <c r="A13" s="295" t="s">
        <v>162</v>
      </c>
      <c r="B13" s="287">
        <f>((GrowthCurveAdjustments!$J$3*Fixed_Weight_Validations!B12^3+GrowthCurveAdjustments!$K$3*Fixed_Weight_Validations!B12^2+GrowthCurveAdjustments!$L$3*Fixed_Weight_Validations!B12+GrowthCurveAdjustments!$M$3)/2.2046)*1000</f>
        <v>0</v>
      </c>
      <c r="C13" s="287">
        <f>((GrowthCurveAdjustments!$J$3*Fixed_Weight_Validations!C12^3+GrowthCurveAdjustments!$K$3*Fixed_Weight_Validations!C12^2+GrowthCurveAdjustments!$L$3*Fixed_Weight_Validations!C12+GrowthCurveAdjustments!$M$3)/2.2046)*1000</f>
        <v>0</v>
      </c>
      <c r="D13" s="287">
        <f>((GrowthCurveAdjustments!$J$3*Fixed_Weight_Validations!D12^3+GrowthCurveAdjustments!$K$3*Fixed_Weight_Validations!D12^2+GrowthCurveAdjustments!$L$3*Fixed_Weight_Validations!D12+GrowthCurveAdjustments!$M$3)/2.2046)*1000</f>
        <v>0</v>
      </c>
      <c r="E13" s="287">
        <f>((GrowthCurveAdjustments!$J$3*Fixed_Weight_Validations!E12^3+GrowthCurveAdjustments!$K$3*Fixed_Weight_Validations!E12^2+GrowthCurveAdjustments!$L$3*Fixed_Weight_Validations!E12+GrowthCurveAdjustments!$M$3)/2.2046)*1000</f>
        <v>0</v>
      </c>
      <c r="F13" s="287">
        <f>((GrowthCurveAdjustments!$J$3*Fixed_Weight_Validations!F12^3+GrowthCurveAdjustments!$K$3*Fixed_Weight_Validations!F12^2+GrowthCurveAdjustments!$L$3*Fixed_Weight_Validations!F12+GrowthCurveAdjustments!$M$3)/2.2046)*1000</f>
        <v>0</v>
      </c>
      <c r="G13" s="287"/>
      <c r="H13" s="287">
        <f>((GrowthCurveAdjustments!$J$3*Fixed_Weight_Validations!H12^3+GrowthCurveAdjustments!$K$3*Fixed_Weight_Validations!H12^2+GrowthCurveAdjustments!$L$3*Fixed_Weight_Validations!H12+GrowthCurveAdjustments!$M$3)/2.2046)*1000</f>
        <v>0</v>
      </c>
      <c r="I13" s="287">
        <f>((GrowthCurveAdjustments!$J$3*Fixed_Weight_Validations!I12^3+GrowthCurveAdjustments!$K$3*Fixed_Weight_Validations!I12^2+GrowthCurveAdjustments!$L$3*Fixed_Weight_Validations!I12+GrowthCurveAdjustments!$M$3)/2.2046)*1000</f>
        <v>0</v>
      </c>
      <c r="J13" s="287">
        <f>((GrowthCurveAdjustments!$J$3*Fixed_Weight_Validations!J12^3+GrowthCurveAdjustments!$K$3*Fixed_Weight_Validations!J12^2+GrowthCurveAdjustments!$L$3*Fixed_Weight_Validations!J12+GrowthCurveAdjustments!$M$3)/2.2046)*1000</f>
        <v>0</v>
      </c>
      <c r="K13" s="287">
        <f>((GrowthCurveAdjustments!$J$3*Fixed_Weight_Validations!K12^3+GrowthCurveAdjustments!$K$3*Fixed_Weight_Validations!K12^2+GrowthCurveAdjustments!$L$3*Fixed_Weight_Validations!K12+GrowthCurveAdjustments!$M$3)/2.2046)*1000</f>
        <v>0</v>
      </c>
      <c r="L13" s="287">
        <f>((GrowthCurveAdjustments!$J$3*Fixed_Weight_Validations!L12^3+GrowthCurveAdjustments!$K$3*Fixed_Weight_Validations!L12^2+GrowthCurveAdjustments!$L$3*Fixed_Weight_Validations!L12+GrowthCurveAdjustments!$M$3)/2.2046)*1000</f>
        <v>0</v>
      </c>
      <c r="M13" s="287"/>
      <c r="N13" s="287">
        <f>((GrowthCurveAdjustments!$J$3*Fixed_Weight_Validations!N12^3+GrowthCurveAdjustments!$K$3*Fixed_Weight_Validations!N12^2+GrowthCurveAdjustments!$L$3*Fixed_Weight_Validations!N12+GrowthCurveAdjustments!$M$3)/2.2046)*1000</f>
        <v>0</v>
      </c>
      <c r="O13" s="287">
        <f>((GrowthCurveAdjustments!$J$3*Fixed_Weight_Validations!O12^3+GrowthCurveAdjustments!$K$3*Fixed_Weight_Validations!O12^2+GrowthCurveAdjustments!$L$3*Fixed_Weight_Validations!O12+GrowthCurveAdjustments!$M$3)/2.2046)*1000</f>
        <v>0</v>
      </c>
      <c r="P13" s="287">
        <f>((GrowthCurveAdjustments!$J$3*Fixed_Weight_Validations!P12^3+GrowthCurveAdjustments!$K$3*Fixed_Weight_Validations!P12^2+GrowthCurveAdjustments!$L$3*Fixed_Weight_Validations!P12+GrowthCurveAdjustments!$M$3)/2.2046)*1000</f>
        <v>0</v>
      </c>
      <c r="Q13" s="287">
        <f>((GrowthCurveAdjustments!$J$3*Fixed_Weight_Validations!Q12^3+GrowthCurveAdjustments!$K$3*Fixed_Weight_Validations!Q12^2+GrowthCurveAdjustments!$L$3*Fixed_Weight_Validations!Q12+GrowthCurveAdjustments!$M$3)/2.2046)*1000</f>
        <v>0</v>
      </c>
      <c r="R13" s="287">
        <f>((GrowthCurveAdjustments!$J$3*Fixed_Weight_Validations!R12^3+GrowthCurveAdjustments!$K$3*Fixed_Weight_Validations!R12^2+GrowthCurveAdjustments!$L$3*Fixed_Weight_Validations!R12+GrowthCurveAdjustments!$M$3)/2.2046)*1000</f>
        <v>0</v>
      </c>
      <c r="S13" s="287"/>
      <c r="T13" s="287">
        <f>((GrowthCurveAdjustments!$J$3*Fixed_Weight_Validations!T12^3+GrowthCurveAdjustments!$K$3*Fixed_Weight_Validations!T12^2+GrowthCurveAdjustments!$L$3*Fixed_Weight_Validations!T12+GrowthCurveAdjustments!$M$3)/2.2046)*1000</f>
        <v>0</v>
      </c>
      <c r="U13" s="287">
        <f>((GrowthCurveAdjustments!$J$3*Fixed_Weight_Validations!U12^3+GrowthCurveAdjustments!$K$3*Fixed_Weight_Validations!U12^2+GrowthCurveAdjustments!$L$3*Fixed_Weight_Validations!U12+GrowthCurveAdjustments!$M$3)/2.2046)*1000</f>
        <v>0</v>
      </c>
      <c r="V13" s="287">
        <f>((GrowthCurveAdjustments!$J$3*Fixed_Weight_Validations!V12^3+GrowthCurveAdjustments!$K$3*Fixed_Weight_Validations!V12^2+GrowthCurveAdjustments!$L$3*Fixed_Weight_Validations!V12+GrowthCurveAdjustments!$M$3)/2.2046)*1000</f>
        <v>0</v>
      </c>
      <c r="W13" s="287">
        <f>((GrowthCurveAdjustments!$J$3*Fixed_Weight_Validations!W12^3+GrowthCurveAdjustments!$K$3*Fixed_Weight_Validations!W12^2+GrowthCurveAdjustments!$L$3*Fixed_Weight_Validations!W12+GrowthCurveAdjustments!$M$3)/2.2046)*1000</f>
        <v>0</v>
      </c>
      <c r="X13" s="287">
        <f>((GrowthCurveAdjustments!$J$3*Fixed_Weight_Validations!X12^3+GrowthCurveAdjustments!$K$3*Fixed_Weight_Validations!X12^2+GrowthCurveAdjustments!$L$3*Fixed_Weight_Validations!X12+GrowthCurveAdjustments!$M$3)/2.2046)*1000</f>
        <v>0</v>
      </c>
      <c r="Y13" s="287"/>
      <c r="Z13" s="288">
        <f>((GrowthCurveAdjustments!$J$3*Fixed_Weight_Validations!Z12^3+GrowthCurveAdjustments!$K$3*Fixed_Weight_Validations!Z12^2+GrowthCurveAdjustments!$L$3*Fixed_Weight_Validations!Z12+GrowthCurveAdjustments!$M$3)/2.2046)*1000</f>
        <v>0</v>
      </c>
      <c r="AA13" s="288">
        <f>((GrowthCurveAdjustments!$J$3*Fixed_Weight_Validations!AA12^3+GrowthCurveAdjustments!$K$3*Fixed_Weight_Validations!AA12^2+GrowthCurveAdjustments!$L$3*Fixed_Weight_Validations!AA12+GrowthCurveAdjustments!$M$3)/2.2046)*1000</f>
        <v>0</v>
      </c>
      <c r="AB13" s="288">
        <f>((GrowthCurveAdjustments!$J$3*Fixed_Weight_Validations!AB12^3+GrowthCurveAdjustments!$K$3*Fixed_Weight_Validations!AB12^2+GrowthCurveAdjustments!$L$3*Fixed_Weight_Validations!AB12+GrowthCurveAdjustments!$M$3)/2.2046)*1000</f>
        <v>0</v>
      </c>
      <c r="AC13" s="288">
        <f>((GrowthCurveAdjustments!$J$3*Fixed_Weight_Validations!AC12^3+GrowthCurveAdjustments!$K$3*Fixed_Weight_Validations!AC12^2+GrowthCurveAdjustments!$L$3*Fixed_Weight_Validations!AC12+GrowthCurveAdjustments!$M$3)/2.2046)*1000</f>
        <v>0</v>
      </c>
      <c r="AD13" s="288">
        <f>((GrowthCurveAdjustments!$J$3*Fixed_Weight_Validations!AD12^3+GrowthCurveAdjustments!$K$3*Fixed_Weight_Validations!AD12^2+GrowthCurveAdjustments!$L$3*Fixed_Weight_Validations!AD12+GrowthCurveAdjustments!$M$3)/2.2046)*1000</f>
        <v>0</v>
      </c>
      <c r="AE13" s="262"/>
      <c r="AF13" s="288">
        <f>((GrowthCurveAdjustments!$J$3*Fixed_Weight_Validations!AF12^3+GrowthCurveAdjustments!$K$3*Fixed_Weight_Validations!AF12^2+GrowthCurveAdjustments!$L$3*Fixed_Weight_Validations!AF12+GrowthCurveAdjustments!$M$3)/2.2046)*1000</f>
        <v>0</v>
      </c>
      <c r="AG13" s="288">
        <f>((GrowthCurveAdjustments!$J$3*Fixed_Weight_Validations!AG12^3+GrowthCurveAdjustments!$K$3*Fixed_Weight_Validations!AG12^2+GrowthCurveAdjustments!$L$3*Fixed_Weight_Validations!AG12+GrowthCurveAdjustments!$M$3)/2.2046)*1000</f>
        <v>0</v>
      </c>
      <c r="AH13" s="288">
        <f>((GrowthCurveAdjustments!$J$3*Fixed_Weight_Validations!AH12^3+GrowthCurveAdjustments!$K$3*Fixed_Weight_Validations!AH12^2+GrowthCurveAdjustments!$L$3*Fixed_Weight_Validations!AH12+GrowthCurveAdjustments!$M$3)/2.2046)*1000</f>
        <v>0</v>
      </c>
      <c r="AI13" s="288">
        <f>((GrowthCurveAdjustments!$J$3*Fixed_Weight_Validations!AI12^3+GrowthCurveAdjustments!$K$3*Fixed_Weight_Validations!AI12^2+GrowthCurveAdjustments!$L$3*Fixed_Weight_Validations!AI12+GrowthCurveAdjustments!$M$3)/2.2046)*1000</f>
        <v>0</v>
      </c>
      <c r="AJ13" s="288">
        <f>((GrowthCurveAdjustments!$J$3*Fixed_Weight_Validations!AJ12^3+GrowthCurveAdjustments!$K$3*Fixed_Weight_Validations!AJ12^2+GrowthCurveAdjustments!$L$3*Fixed_Weight_Validations!AJ12+GrowthCurveAdjustments!$M$3)/2.2046)*1000</f>
        <v>0</v>
      </c>
      <c r="AK13" s="262"/>
      <c r="AL13" s="111"/>
    </row>
    <row r="14" spans="1:39" ht="14" customHeight="1">
      <c r="A14" s="295" t="s">
        <v>163</v>
      </c>
      <c r="B14" s="287">
        <f>B13-B11</f>
        <v>-275.99</v>
      </c>
      <c r="C14" s="287">
        <f t="shared" ref="C14:F14" si="7">C13-C11</f>
        <v>-275.99</v>
      </c>
      <c r="D14" s="287">
        <f t="shared" si="7"/>
        <v>-275.99</v>
      </c>
      <c r="E14" s="287">
        <f t="shared" si="7"/>
        <v>-275.99</v>
      </c>
      <c r="F14" s="287">
        <f t="shared" si="7"/>
        <v>-275.99</v>
      </c>
      <c r="G14" s="287"/>
      <c r="H14" s="287">
        <f t="shared" ref="H14:AF14" si="8">H13-H11</f>
        <v>-275.99</v>
      </c>
      <c r="I14" s="287">
        <f t="shared" ref="I14:L14" si="9">I13-I11</f>
        <v>-275.99</v>
      </c>
      <c r="J14" s="287">
        <f t="shared" si="9"/>
        <v>-275.99</v>
      </c>
      <c r="K14" s="287">
        <f t="shared" si="9"/>
        <v>-275.99</v>
      </c>
      <c r="L14" s="287">
        <f t="shared" si="9"/>
        <v>-275.99</v>
      </c>
      <c r="M14" s="287"/>
      <c r="N14" s="287">
        <f t="shared" si="8"/>
        <v>-275.99</v>
      </c>
      <c r="O14" s="287">
        <f t="shared" ref="O14:R14" si="10">O13-O11</f>
        <v>-275.99</v>
      </c>
      <c r="P14" s="287">
        <f t="shared" si="10"/>
        <v>-275.99</v>
      </c>
      <c r="Q14" s="287">
        <f t="shared" si="10"/>
        <v>-275.99</v>
      </c>
      <c r="R14" s="287">
        <f t="shared" si="10"/>
        <v>-275.99</v>
      </c>
      <c r="S14" s="287"/>
      <c r="T14" s="287">
        <f t="shared" si="8"/>
        <v>-275.99</v>
      </c>
      <c r="U14" s="287">
        <f t="shared" ref="U14:X14" si="11">U13-U11</f>
        <v>-275.99</v>
      </c>
      <c r="V14" s="287">
        <f t="shared" si="11"/>
        <v>-275.99</v>
      </c>
      <c r="W14" s="287">
        <f t="shared" si="11"/>
        <v>-275.99</v>
      </c>
      <c r="X14" s="287">
        <f t="shared" si="11"/>
        <v>-275.99</v>
      </c>
      <c r="Y14" s="287"/>
      <c r="Z14" s="288">
        <f t="shared" si="8"/>
        <v>-275.99</v>
      </c>
      <c r="AA14" s="288">
        <f t="shared" ref="AA14:AD14" si="12">AA13-AA11</f>
        <v>-275.99</v>
      </c>
      <c r="AB14" s="288">
        <f t="shared" si="12"/>
        <v>-275.99</v>
      </c>
      <c r="AC14" s="288">
        <f t="shared" si="12"/>
        <v>-275.99</v>
      </c>
      <c r="AD14" s="288">
        <f t="shared" si="12"/>
        <v>-275.99</v>
      </c>
      <c r="AE14" s="262"/>
      <c r="AF14" s="288">
        <f t="shared" si="8"/>
        <v>-275.99</v>
      </c>
      <c r="AG14" s="288">
        <f t="shared" ref="AG14:AJ14" si="13">AG13-AG11</f>
        <v>-275.99</v>
      </c>
      <c r="AH14" s="288">
        <f t="shared" si="13"/>
        <v>-275.99</v>
      </c>
      <c r="AI14" s="288">
        <f t="shared" si="13"/>
        <v>-275.99</v>
      </c>
      <c r="AJ14" s="288">
        <f t="shared" si="13"/>
        <v>-275.99</v>
      </c>
      <c r="AK14" s="262"/>
      <c r="AL14" s="111"/>
    </row>
    <row r="15" spans="1:39" ht="14" customHeight="1">
      <c r="A15" s="295" t="s">
        <v>166</v>
      </c>
      <c r="B15" s="287">
        <f>B10+B14</f>
        <v>0</v>
      </c>
      <c r="C15" s="287">
        <f t="shared" ref="C15:F15" si="14">C10+C14</f>
        <v>0</v>
      </c>
      <c r="D15" s="287">
        <f t="shared" si="14"/>
        <v>0</v>
      </c>
      <c r="E15" s="287">
        <f t="shared" si="14"/>
        <v>0</v>
      </c>
      <c r="F15" s="287">
        <f t="shared" si="14"/>
        <v>0</v>
      </c>
      <c r="G15" s="287"/>
      <c r="H15" s="287">
        <f t="shared" ref="H15:AF15" si="15">H10+H14</f>
        <v>0</v>
      </c>
      <c r="I15" s="287">
        <f t="shared" ref="I15:L15" si="16">I10+I14</f>
        <v>0</v>
      </c>
      <c r="J15" s="287">
        <f t="shared" si="16"/>
        <v>0</v>
      </c>
      <c r="K15" s="287">
        <f t="shared" si="16"/>
        <v>0</v>
      </c>
      <c r="L15" s="287">
        <f t="shared" si="16"/>
        <v>0</v>
      </c>
      <c r="M15" s="287"/>
      <c r="N15" s="287">
        <f t="shared" si="15"/>
        <v>0</v>
      </c>
      <c r="O15" s="287">
        <f t="shared" ref="O15:R15" si="17">O10+O14</f>
        <v>0</v>
      </c>
      <c r="P15" s="287">
        <f t="shared" si="17"/>
        <v>0</v>
      </c>
      <c r="Q15" s="287">
        <f t="shared" si="17"/>
        <v>0</v>
      </c>
      <c r="R15" s="287">
        <f t="shared" si="17"/>
        <v>0</v>
      </c>
      <c r="S15" s="287"/>
      <c r="T15" s="287">
        <f t="shared" si="15"/>
        <v>0</v>
      </c>
      <c r="U15" s="287">
        <f t="shared" ref="U15:X15" si="18">U10+U14</f>
        <v>0</v>
      </c>
      <c r="V15" s="287">
        <f t="shared" si="18"/>
        <v>0</v>
      </c>
      <c r="W15" s="287">
        <f t="shared" si="18"/>
        <v>0</v>
      </c>
      <c r="X15" s="287">
        <f t="shared" si="18"/>
        <v>0</v>
      </c>
      <c r="Y15" s="287"/>
      <c r="Z15" s="288">
        <f t="shared" si="15"/>
        <v>0</v>
      </c>
      <c r="AA15" s="288">
        <f t="shared" ref="AA15:AD15" si="19">AA10+AA14</f>
        <v>0</v>
      </c>
      <c r="AB15" s="288">
        <f t="shared" si="19"/>
        <v>0</v>
      </c>
      <c r="AC15" s="288">
        <f t="shared" si="19"/>
        <v>0</v>
      </c>
      <c r="AD15" s="288">
        <f t="shared" si="19"/>
        <v>0</v>
      </c>
      <c r="AE15" s="262"/>
      <c r="AF15" s="288">
        <f t="shared" si="15"/>
        <v>0</v>
      </c>
      <c r="AG15" s="288">
        <f t="shared" ref="AG15:AJ15" si="20">AG10+AG14</f>
        <v>0</v>
      </c>
      <c r="AH15" s="288">
        <f t="shared" si="20"/>
        <v>0</v>
      </c>
      <c r="AI15" s="288">
        <f t="shared" si="20"/>
        <v>0</v>
      </c>
      <c r="AJ15" s="288">
        <f t="shared" si="20"/>
        <v>0</v>
      </c>
      <c r="AK15" s="262"/>
      <c r="AL15" s="111"/>
    </row>
    <row r="16" spans="1:39" ht="14" customHeight="1">
      <c r="A16" s="194"/>
      <c r="B16" s="204"/>
      <c r="C16" s="204"/>
      <c r="D16" s="204"/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154"/>
      <c r="AA16" s="154"/>
      <c r="AB16" s="154"/>
      <c r="AC16" s="154"/>
      <c r="AD16" s="154"/>
      <c r="AE16" s="154"/>
      <c r="AF16" s="154"/>
      <c r="AG16" s="154"/>
      <c r="AH16" s="154"/>
      <c r="AI16" s="154"/>
      <c r="AJ16" s="154"/>
      <c r="AK16" s="154"/>
      <c r="AL16" s="111"/>
    </row>
    <row r="17" spans="1:39" ht="14" customHeight="1">
      <c r="A17" s="295" t="s">
        <v>164</v>
      </c>
      <c r="B17" s="289" t="e">
        <f>1/(GrowthCurveAdjustments!$J$4*Fixed_Weight_Validations!B12^3+GrowthCurveAdjustments!$K$4*Fixed_Weight_Validations!B12^2+GrowthCurveAdjustments!$L$4*Fixed_Weight_Validations!B12+GrowthCurveAdjustments!$M$4)</f>
        <v>#DIV/0!</v>
      </c>
      <c r="C17" s="289" t="e">
        <f>1/(GrowthCurveAdjustments!$J$4*Fixed_Weight_Validations!C12^3+GrowthCurveAdjustments!$K$4*Fixed_Weight_Validations!C12^2+GrowthCurveAdjustments!$L$4*Fixed_Weight_Validations!C12+GrowthCurveAdjustments!$M$4)</f>
        <v>#DIV/0!</v>
      </c>
      <c r="D17" s="289" t="e">
        <f>1/(GrowthCurveAdjustments!$J$4*Fixed_Weight_Validations!D12^3+GrowthCurveAdjustments!$K$4*Fixed_Weight_Validations!D12^2+GrowthCurveAdjustments!$L$4*Fixed_Weight_Validations!D12+GrowthCurveAdjustments!$M$4)</f>
        <v>#DIV/0!</v>
      </c>
      <c r="E17" s="289" t="e">
        <f>1/(GrowthCurveAdjustments!$J$4*Fixed_Weight_Validations!E12^3+GrowthCurveAdjustments!$K$4*Fixed_Weight_Validations!E12^2+GrowthCurveAdjustments!$L$4*Fixed_Weight_Validations!E12+GrowthCurveAdjustments!$M$4)</f>
        <v>#DIV/0!</v>
      </c>
      <c r="F17" s="289" t="e">
        <f>1/(GrowthCurveAdjustments!$J$4*Fixed_Weight_Validations!F12^3+GrowthCurveAdjustments!$K$4*Fixed_Weight_Validations!F12^2+GrowthCurveAdjustments!$L$4*Fixed_Weight_Validations!F12+GrowthCurveAdjustments!$M$4)</f>
        <v>#DIV/0!</v>
      </c>
      <c r="G17" s="289"/>
      <c r="H17" s="289" t="e">
        <f>1/(GrowthCurveAdjustments!$J$4*Fixed_Weight_Validations!H12^3+GrowthCurveAdjustments!$K$4*Fixed_Weight_Validations!H12^2+GrowthCurveAdjustments!$L$4*Fixed_Weight_Validations!H12+GrowthCurveAdjustments!$M$4)</f>
        <v>#DIV/0!</v>
      </c>
      <c r="I17" s="289" t="e">
        <f>1/(GrowthCurveAdjustments!$J$4*Fixed_Weight_Validations!I12^3+GrowthCurveAdjustments!$K$4*Fixed_Weight_Validations!I12^2+GrowthCurveAdjustments!$L$4*Fixed_Weight_Validations!I12+GrowthCurveAdjustments!$M$4)</f>
        <v>#DIV/0!</v>
      </c>
      <c r="J17" s="289" t="e">
        <f>1/(GrowthCurveAdjustments!$J$4*Fixed_Weight_Validations!J12^3+GrowthCurveAdjustments!$K$4*Fixed_Weight_Validations!J12^2+GrowthCurveAdjustments!$L$4*Fixed_Weight_Validations!J12+GrowthCurveAdjustments!$M$4)</f>
        <v>#DIV/0!</v>
      </c>
      <c r="K17" s="289" t="e">
        <f>1/(GrowthCurveAdjustments!$J$4*Fixed_Weight_Validations!K12^3+GrowthCurveAdjustments!$K$4*Fixed_Weight_Validations!K12^2+GrowthCurveAdjustments!$L$4*Fixed_Weight_Validations!K12+GrowthCurveAdjustments!$M$4)</f>
        <v>#DIV/0!</v>
      </c>
      <c r="L17" s="289" t="e">
        <f>1/(GrowthCurveAdjustments!$J$4*Fixed_Weight_Validations!L12^3+GrowthCurveAdjustments!$K$4*Fixed_Weight_Validations!L12^2+GrowthCurveAdjustments!$L$4*Fixed_Weight_Validations!L12+GrowthCurveAdjustments!$M$4)</f>
        <v>#DIV/0!</v>
      </c>
      <c r="M17" s="289"/>
      <c r="N17" s="289" t="e">
        <f>1/(GrowthCurveAdjustments!$J$4*Fixed_Weight_Validations!N12^3+GrowthCurveAdjustments!$K$4*Fixed_Weight_Validations!N12^2+GrowthCurveAdjustments!$L$4*Fixed_Weight_Validations!N12+GrowthCurveAdjustments!$M$4)</f>
        <v>#DIV/0!</v>
      </c>
      <c r="O17" s="289" t="e">
        <f>1/(GrowthCurveAdjustments!$J$4*Fixed_Weight_Validations!O12^3+GrowthCurveAdjustments!$K$4*Fixed_Weight_Validations!O12^2+GrowthCurveAdjustments!$L$4*Fixed_Weight_Validations!O12+GrowthCurveAdjustments!$M$4)</f>
        <v>#DIV/0!</v>
      </c>
      <c r="P17" s="289" t="e">
        <f>1/(GrowthCurveAdjustments!$J$4*Fixed_Weight_Validations!P12^3+GrowthCurveAdjustments!$K$4*Fixed_Weight_Validations!P12^2+GrowthCurveAdjustments!$L$4*Fixed_Weight_Validations!P12+GrowthCurveAdjustments!$M$4)</f>
        <v>#DIV/0!</v>
      </c>
      <c r="Q17" s="289" t="e">
        <f>1/(GrowthCurveAdjustments!$J$4*Fixed_Weight_Validations!Q12^3+GrowthCurveAdjustments!$K$4*Fixed_Weight_Validations!Q12^2+GrowthCurveAdjustments!$L$4*Fixed_Weight_Validations!Q12+GrowthCurveAdjustments!$M$4)</f>
        <v>#DIV/0!</v>
      </c>
      <c r="R17" s="289" t="e">
        <f>1/(GrowthCurveAdjustments!$J$4*Fixed_Weight_Validations!R12^3+GrowthCurveAdjustments!$K$4*Fixed_Weight_Validations!R12^2+GrowthCurveAdjustments!$L$4*Fixed_Weight_Validations!R12+GrowthCurveAdjustments!$M$4)</f>
        <v>#DIV/0!</v>
      </c>
      <c r="S17" s="289"/>
      <c r="T17" s="289" t="e">
        <f>1/(GrowthCurveAdjustments!$J$4*Fixed_Weight_Validations!T12^3+GrowthCurveAdjustments!$K$4*Fixed_Weight_Validations!T12^2+GrowthCurveAdjustments!$L$4*Fixed_Weight_Validations!T12+GrowthCurveAdjustments!$M$4)</f>
        <v>#DIV/0!</v>
      </c>
      <c r="U17" s="289" t="e">
        <f>1/(GrowthCurveAdjustments!$J$4*Fixed_Weight_Validations!U12^3+GrowthCurveAdjustments!$K$4*Fixed_Weight_Validations!U12^2+GrowthCurveAdjustments!$L$4*Fixed_Weight_Validations!U12+GrowthCurveAdjustments!$M$4)</f>
        <v>#DIV/0!</v>
      </c>
      <c r="V17" s="289" t="e">
        <f>1/(GrowthCurveAdjustments!$J$4*Fixed_Weight_Validations!V12^3+GrowthCurveAdjustments!$K$4*Fixed_Weight_Validations!V12^2+GrowthCurveAdjustments!$L$4*Fixed_Weight_Validations!V12+GrowthCurveAdjustments!$M$4)</f>
        <v>#DIV/0!</v>
      </c>
      <c r="W17" s="289" t="e">
        <f>1/(GrowthCurveAdjustments!$J$4*Fixed_Weight_Validations!W12^3+GrowthCurveAdjustments!$K$4*Fixed_Weight_Validations!W12^2+GrowthCurveAdjustments!$L$4*Fixed_Weight_Validations!W12+GrowthCurveAdjustments!$M$4)</f>
        <v>#DIV/0!</v>
      </c>
      <c r="X17" s="289" t="e">
        <f>1/(GrowthCurveAdjustments!$J$4*Fixed_Weight_Validations!X12^3+GrowthCurveAdjustments!$K$4*Fixed_Weight_Validations!X12^2+GrowthCurveAdjustments!$L$4*Fixed_Weight_Validations!X12+GrowthCurveAdjustments!$M$4)</f>
        <v>#DIV/0!</v>
      </c>
      <c r="Y17" s="289"/>
      <c r="Z17" s="290" t="e">
        <f>1/(GrowthCurveAdjustments!$J$4*Fixed_Weight_Validations!Z12^3+GrowthCurveAdjustments!$K$4*Fixed_Weight_Validations!Z12^2+GrowthCurveAdjustments!$L$4*Fixed_Weight_Validations!Z12+GrowthCurveAdjustments!$M$4)</f>
        <v>#DIV/0!</v>
      </c>
      <c r="AA17" s="290" t="e">
        <f>1/(GrowthCurveAdjustments!$J$4*Fixed_Weight_Validations!AA12^3+GrowthCurveAdjustments!$K$4*Fixed_Weight_Validations!AA12^2+GrowthCurveAdjustments!$L$4*Fixed_Weight_Validations!AA12+GrowthCurveAdjustments!$M$4)</f>
        <v>#DIV/0!</v>
      </c>
      <c r="AB17" s="290" t="e">
        <f>1/(GrowthCurveAdjustments!$J$4*Fixed_Weight_Validations!AB12^3+GrowthCurveAdjustments!$K$4*Fixed_Weight_Validations!AB12^2+GrowthCurveAdjustments!$L$4*Fixed_Weight_Validations!AB12+GrowthCurveAdjustments!$M$4)</f>
        <v>#DIV/0!</v>
      </c>
      <c r="AC17" s="290" t="e">
        <f>1/(GrowthCurveAdjustments!$J$4*Fixed_Weight_Validations!AC12^3+GrowthCurveAdjustments!$K$4*Fixed_Weight_Validations!AC12^2+GrowthCurveAdjustments!$L$4*Fixed_Weight_Validations!AC12+GrowthCurveAdjustments!$M$4)</f>
        <v>#DIV/0!</v>
      </c>
      <c r="AD17" s="290" t="e">
        <f>1/(GrowthCurveAdjustments!$J$4*Fixed_Weight_Validations!AD12^3+GrowthCurveAdjustments!$K$4*Fixed_Weight_Validations!AD12^2+GrowthCurveAdjustments!$L$4*Fixed_Weight_Validations!AD12+GrowthCurveAdjustments!$M$4)</f>
        <v>#DIV/0!</v>
      </c>
      <c r="AE17" s="263"/>
      <c r="AF17" s="290" t="e">
        <f>1/(GrowthCurveAdjustments!$J$4*Fixed_Weight_Validations!AF12^3+GrowthCurveAdjustments!$K$4*Fixed_Weight_Validations!AF12^2+GrowthCurveAdjustments!$L$4*Fixed_Weight_Validations!AF12+GrowthCurveAdjustments!$M$4)</f>
        <v>#DIV/0!</v>
      </c>
      <c r="AG17" s="290" t="e">
        <f>1/(GrowthCurveAdjustments!$J$4*Fixed_Weight_Validations!AG12^3+GrowthCurveAdjustments!$K$4*Fixed_Weight_Validations!AG12^2+GrowthCurveAdjustments!$L$4*Fixed_Weight_Validations!AG12+GrowthCurveAdjustments!$M$4)</f>
        <v>#DIV/0!</v>
      </c>
      <c r="AH17" s="290" t="e">
        <f>1/(GrowthCurveAdjustments!$J$4*Fixed_Weight_Validations!AH12^3+GrowthCurveAdjustments!$K$4*Fixed_Weight_Validations!AH12^2+GrowthCurveAdjustments!$L$4*Fixed_Weight_Validations!AH12+GrowthCurveAdjustments!$M$4)</f>
        <v>#DIV/0!</v>
      </c>
      <c r="AI17" s="290" t="e">
        <f>1/(GrowthCurveAdjustments!$J$4*Fixed_Weight_Validations!AI12^3+GrowthCurveAdjustments!$K$4*Fixed_Weight_Validations!AI12^2+GrowthCurveAdjustments!$L$4*Fixed_Weight_Validations!AI12+GrowthCurveAdjustments!$M$4)</f>
        <v>#DIV/0!</v>
      </c>
      <c r="AJ17" s="290" t="e">
        <f>1/(GrowthCurveAdjustments!$J$4*Fixed_Weight_Validations!AJ12^3+GrowthCurveAdjustments!$K$4*Fixed_Weight_Validations!AJ12^2+GrowthCurveAdjustments!$L$4*Fixed_Weight_Validations!AJ12+GrowthCurveAdjustments!$M$4)</f>
        <v>#DIV/0!</v>
      </c>
      <c r="AK17" s="263"/>
      <c r="AL17" s="111"/>
    </row>
    <row r="18" spans="1:39" ht="14" customHeight="1">
      <c r="A18" s="295" t="s">
        <v>165</v>
      </c>
      <c r="B18" s="289" t="e">
        <f>IF(Inputs!$H$19=1,((B6/Inputs!$M$7)*(B17)), IF(Inputs!$H$19=2,((0.000004365*(Inputs!$M$7*2.2046))-((0.00162*B12)/2.2046)-(0.08023*B9)+(0.000094*(Inputs!$M$7*2.2046)*B9)+0.3496),0))</f>
        <v>#DIV/0!</v>
      </c>
      <c r="C18" s="289" t="e">
        <f>IF(Inputs!$H$19=1,((C6/Inputs!$M$7)*(C17)), IF(Inputs!$H$19=2,((0.000004365*(Inputs!$M$7*2.2046))-((0.00162*C12)/2.2046)-(0.08023*C9)+(0.000094*(Inputs!$M$7*2.2046)*C9)+0.3496),0))</f>
        <v>#DIV/0!</v>
      </c>
      <c r="D18" s="289" t="e">
        <f>IF(Inputs!$H$19=1,((D6/Inputs!$M$7)*(D17)), IF(Inputs!$H$19=2,((0.000004365*(Inputs!$M$7*2.2046))-((0.00162*D12)/2.2046)-(0.08023*D9)+(0.000094*(Inputs!$M$7*2.2046)*D9)+0.3496),0))</f>
        <v>#DIV/0!</v>
      </c>
      <c r="E18" s="289" t="e">
        <f>IF(Inputs!$H$19=1,((E6/Inputs!$M$7)*(E17)), IF(Inputs!$H$19=2,((0.000004365*(Inputs!$M$7*2.2046))-((0.00162*E12)/2.2046)-(0.08023*E9)+(0.000094*(Inputs!$M$7*2.2046)*E9)+0.3496),0))</f>
        <v>#DIV/0!</v>
      </c>
      <c r="F18" s="289" t="e">
        <f>IF(Inputs!$H$19=1,((F6/Inputs!$M$7)*(F17)), IF(Inputs!$H$19=2,((0.000004365*(Inputs!$M$7*2.2046))-((0.00162*F12)/2.2046)-(0.08023*F9)+(0.000094*(Inputs!$M$7*2.2046)*F9)+0.3496),0))</f>
        <v>#DIV/0!</v>
      </c>
      <c r="G18" s="289"/>
      <c r="H18" s="289" t="e">
        <f>IF(Inputs!$H$19=1,((H6/Inputs!$M$8)*(H17)), IF(Inputs!$H$19=2,((0.000004365*(Inputs!$M$8*2.2046))-((0.00162*H12)/2.2046)-(0.08023*H9)+(0.000094*(Inputs!$M$8*2.2046)*H9)+0.3496),0))</f>
        <v>#DIV/0!</v>
      </c>
      <c r="I18" s="289" t="e">
        <f>IF(Inputs!$H$19=1,((I6/Inputs!$M$8)*(I17)), IF(Inputs!$H$19=2,((0.000004365*(Inputs!$M$8*2.2046))-((0.00162*I12)/2.2046)-(0.08023*I9)+(0.000094*(Inputs!$M$8*2.2046)*I9)+0.3496),0))</f>
        <v>#DIV/0!</v>
      </c>
      <c r="J18" s="289" t="e">
        <f>IF(Inputs!$H$19=1,((J6/Inputs!$M$8)*(J17)), IF(Inputs!$H$19=2,((0.000004365*(Inputs!$M$8*2.2046))-((0.00162*J12)/2.2046)-(0.08023*J9)+(0.000094*(Inputs!$M$8*2.2046)*J9)+0.3496),0))</f>
        <v>#DIV/0!</v>
      </c>
      <c r="K18" s="289" t="e">
        <f>IF(Inputs!$H$19=1,((K6/Inputs!$M$8)*(K17)), IF(Inputs!$H$19=2,((0.000004365*(Inputs!$M$8*2.2046))-((0.00162*K12)/2.2046)-(0.08023*K9)+(0.000094*(Inputs!$M$8*2.2046)*K9)+0.3496),0))</f>
        <v>#DIV/0!</v>
      </c>
      <c r="L18" s="289" t="e">
        <f>IF(Inputs!$H$19=1,((L6/Inputs!$M$8)*(L17)), IF(Inputs!$H$19=2,((0.000004365*(Inputs!$M$8*2.2046))-((0.00162*L12)/2.2046)-(0.08023*L9)+(0.000094*(Inputs!$M$8*2.2046)*L9)+0.3496),0))</f>
        <v>#DIV/0!</v>
      </c>
      <c r="M18" s="289"/>
      <c r="N18" s="289" t="e">
        <f>IF(Inputs!$H$19=1,((N6/Inputs!$M$9)*(N17)), IF(Inputs!$H$19=2,((0.000004365*(Inputs!$M$9*2.2046))-((0.00162*N12)/2.2046)-(0.08023*N9)+(0.000094*(Inputs!$M$9*2.2046)*N9)+0.3496),0))</f>
        <v>#DIV/0!</v>
      </c>
      <c r="O18" s="289" t="e">
        <f>IF(Inputs!$H$19=1,((O6/Inputs!$M$9)*(O17)), IF(Inputs!$H$19=2,((0.000004365*(Inputs!$M$9*2.2046))-((0.00162*O12)/2.2046)-(0.08023*O9)+(0.000094*(Inputs!$M$9*2.2046)*O9)+0.3496),0))</f>
        <v>#DIV/0!</v>
      </c>
      <c r="P18" s="289" t="e">
        <f>IF(Inputs!$H$19=1,((P6/Inputs!$M$9)*(P17)), IF(Inputs!$H$19=2,((0.000004365*(Inputs!$M$9*2.2046))-((0.00162*P12)/2.2046)-(0.08023*P9)+(0.000094*(Inputs!$M$9*2.2046)*P9)+0.3496),0))</f>
        <v>#DIV/0!</v>
      </c>
      <c r="Q18" s="289" t="e">
        <f>IF(Inputs!$H$19=1,((Q6/Inputs!$M$9)*(Q17)), IF(Inputs!$H$19=2,((0.000004365*(Inputs!$M$9*2.2046))-((0.00162*Q12)/2.2046)-(0.08023*Q9)+(0.000094*(Inputs!$M$9*2.2046)*Q9)+0.3496),0))</f>
        <v>#DIV/0!</v>
      </c>
      <c r="R18" s="289" t="e">
        <f>IF(Inputs!$H$19=1,((R6/Inputs!$M$9)*(R17)), IF(Inputs!$H$19=2,((0.000004365*(Inputs!$M$9*2.2046))-((0.00162*R12)/2.2046)-(0.08023*R9)+(0.000094*(Inputs!$M$9*2.2046)*R9)+0.3496),0))</f>
        <v>#DIV/0!</v>
      </c>
      <c r="S18" s="289"/>
      <c r="T18" s="289" t="e">
        <f>IF(Inputs!$H$19=1,((T6/Inputs!$M$10)*(T17)), IF(Inputs!$H$19=2,((0.000004365*(Inputs!$M$10*2.2046))-((0.00162*T12)/2.2046)-(0.08023*T9)+(0.000094*(Inputs!$M$10*2.2046)*T9)+0.3496),0))</f>
        <v>#DIV/0!</v>
      </c>
      <c r="U18" s="289" t="e">
        <f>IF(Inputs!$H$19=1,((U6/Inputs!$M$10)*(U17)), IF(Inputs!$H$19=2,((0.000004365*(Inputs!$M$10*2.2046))-((0.00162*U12)/2.2046)-(0.08023*U9)+(0.000094*(Inputs!$M$10*2.2046)*U9)+0.3496),0))</f>
        <v>#DIV/0!</v>
      </c>
      <c r="V18" s="289" t="e">
        <f>IF(Inputs!$H$19=1,((V6/Inputs!$M$10)*(V17)), IF(Inputs!$H$19=2,((0.000004365*(Inputs!$M$10*2.2046))-((0.00162*V12)/2.2046)-(0.08023*V9)+(0.000094*(Inputs!$M$10*2.2046)*V9)+0.3496),0))</f>
        <v>#DIV/0!</v>
      </c>
      <c r="W18" s="289" t="e">
        <f>IF(Inputs!$H$19=1,((W6/Inputs!$M$10)*(W17)), IF(Inputs!$H$19=2,((0.000004365*(Inputs!$M$10*2.2046))-((0.00162*W12)/2.2046)-(0.08023*W9)+(0.000094*(Inputs!$M$10*2.2046)*W9)+0.3496),0))</f>
        <v>#DIV/0!</v>
      </c>
      <c r="X18" s="289" t="e">
        <f>IF(Inputs!$H$19=1,((X6/Inputs!$M$10)*(X17)), IF(Inputs!$H$19=2,((0.000004365*(Inputs!$M$10*2.2046))-((0.00162*X12)/2.2046)-(0.08023*X9)+(0.000094*(Inputs!$M$10*2.2046)*X9)+0.3496),0))</f>
        <v>#DIV/0!</v>
      </c>
      <c r="Y18" s="289"/>
      <c r="Z18" s="290" t="e">
        <f>IF(Inputs!$H$19=1,((Z6/Inputs!$M$11)*(Z17)), IF(Inputs!$H$19=2,((0.000004365*(Inputs!$M$11*2.2046))-((0.00162*Z12)/2.2046)-(0.08023*Z9)+(0.000094*(Inputs!$M$11*2.2046)*Z9)+0.3496),0))</f>
        <v>#DIV/0!</v>
      </c>
      <c r="AA18" s="290" t="e">
        <f>IF(Inputs!$H$19=1,((AA6/Inputs!$M$11)*(AA17)), IF(Inputs!$H$19=2,((0.000004365*(Inputs!$M$11*2.2046))-((0.00162*AA12)/2.2046)-(0.08023*AA9)+(0.000094*(Inputs!$M$11*2.2046)*AA9)+0.3496),0))</f>
        <v>#DIV/0!</v>
      </c>
      <c r="AB18" s="290" t="e">
        <f>IF(Inputs!$H$19=1,((AB6/Inputs!$M$11)*(AB17)), IF(Inputs!$H$19=2,((0.000004365*(Inputs!$M$11*2.2046))-((0.00162*AB12)/2.2046)-(0.08023*AB9)+(0.000094*(Inputs!$M$11*2.2046)*AB9)+0.3496),0))</f>
        <v>#DIV/0!</v>
      </c>
      <c r="AC18" s="290" t="e">
        <f>IF(Inputs!$H$19=1,((AC6/Inputs!$M$11)*(AC17)), IF(Inputs!$H$19=2,((0.000004365*(Inputs!$M$11*2.2046))-((0.00162*AC12)/2.2046)-(0.08023*AC9)+(0.000094*(Inputs!$M$11*2.2046)*AC9)+0.3496),0))</f>
        <v>#DIV/0!</v>
      </c>
      <c r="AD18" s="290" t="e">
        <f>IF(Inputs!$H$19=1,((AD6/Inputs!$M$11)*(AD17)), IF(Inputs!$H$19=2,((0.000004365*(Inputs!$M$11*2.2046))-((0.00162*AD12)/2.2046)-(0.08023*AD9)+(0.000094*(Inputs!$M$11*2.2046)*AD9)+0.3496),0))</f>
        <v>#DIV/0!</v>
      </c>
      <c r="AE18" s="263"/>
      <c r="AF18" s="290" t="e">
        <f>IF(Inputs!$H$19=1,((AF6/Inputs!$M$12)*(AF17)), IF(Inputs!$H$19=2,((0.000004365*(Inputs!$M$12*2.2046))-((0.00162*AF12)/2.2046)-(0.08023*AF9)+(0.000094*(Inputs!$M$12*2.2046)*AF9)+0.3496),0))</f>
        <v>#DIV/0!</v>
      </c>
      <c r="AG18" s="290" t="e">
        <f>IF(Inputs!$H$19=1,((AG6/Inputs!$M$12)*(AG17)), IF(Inputs!$H$19=2,((0.000004365*(Inputs!$M$12*2.2046))-((0.00162*AG12)/2.2046)-(0.08023*AG9)+(0.000094*(Inputs!$M$12*2.2046)*AG9)+0.3496),0))</f>
        <v>#DIV/0!</v>
      </c>
      <c r="AH18" s="290" t="e">
        <f>IF(Inputs!$H$19=1,((AH6/Inputs!$M$12)*(AH17)), IF(Inputs!$H$19=2,((0.000004365*(Inputs!$M$12*2.2046))-((0.00162*AH12)/2.2046)-(0.08023*AH9)+(0.000094*(Inputs!$M$12*2.2046)*AH9)+0.3496),0))</f>
        <v>#DIV/0!</v>
      </c>
      <c r="AI18" s="290" t="e">
        <f>IF(Inputs!$H$19=1,((AI6/Inputs!$M$12)*(AI17)), IF(Inputs!$H$19=2,((0.000004365*(Inputs!$M$12*2.2046))-((0.00162*AI12)/2.2046)-(0.08023*AI9)+(0.000094*(Inputs!$M$12*2.2046)*AI9)+0.3496),0))</f>
        <v>#DIV/0!</v>
      </c>
      <c r="AJ18" s="290" t="e">
        <f>IF(Inputs!$H$19=1,((AJ6/Inputs!$M$12)*(AJ17)), IF(Inputs!$H$19=2,((0.000004365*(Inputs!$M$12*2.2046))-((0.00162*AJ12)/2.2046)-(0.08023*AJ9)+(0.000094*(Inputs!$M$12*2.2046)*AJ9)+0.3496),0))</f>
        <v>#DIV/0!</v>
      </c>
      <c r="AK18" s="263"/>
      <c r="AL18" s="111"/>
    </row>
    <row r="19" spans="1:39" ht="14" customHeight="1">
      <c r="A19" s="194"/>
      <c r="B19" s="204"/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204"/>
      <c r="N19" s="204"/>
      <c r="O19" s="204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154"/>
      <c r="AA19" s="154"/>
      <c r="AB19" s="154"/>
      <c r="AC19" s="154"/>
      <c r="AD19" s="154"/>
      <c r="AE19" s="154"/>
      <c r="AF19" s="154"/>
      <c r="AG19" s="154"/>
      <c r="AH19" s="154"/>
      <c r="AI19" s="154"/>
      <c r="AJ19" s="154"/>
      <c r="AK19" s="154"/>
      <c r="AL19" s="113"/>
    </row>
    <row r="20" spans="1:39" ht="14" customHeight="1">
      <c r="A20" s="295" t="s">
        <v>75</v>
      </c>
      <c r="B20" s="291" t="e">
        <f>B15/B18</f>
        <v>#DIV/0!</v>
      </c>
      <c r="C20" s="291" t="e">
        <f t="shared" ref="C20:F20" si="21">C15/C18</f>
        <v>#DIV/0!</v>
      </c>
      <c r="D20" s="291" t="e">
        <f t="shared" si="21"/>
        <v>#DIV/0!</v>
      </c>
      <c r="E20" s="291" t="e">
        <f t="shared" si="21"/>
        <v>#DIV/0!</v>
      </c>
      <c r="F20" s="291" t="e">
        <f t="shared" si="21"/>
        <v>#DIV/0!</v>
      </c>
      <c r="G20" s="291"/>
      <c r="H20" s="291" t="e">
        <f t="shared" ref="H20:AF20" si="22">H15/H18</f>
        <v>#DIV/0!</v>
      </c>
      <c r="I20" s="291" t="e">
        <f t="shared" ref="I20:L20" si="23">I15/I18</f>
        <v>#DIV/0!</v>
      </c>
      <c r="J20" s="291" t="e">
        <f t="shared" si="23"/>
        <v>#DIV/0!</v>
      </c>
      <c r="K20" s="291" t="e">
        <f t="shared" si="23"/>
        <v>#DIV/0!</v>
      </c>
      <c r="L20" s="291" t="e">
        <f t="shared" si="23"/>
        <v>#DIV/0!</v>
      </c>
      <c r="M20" s="291"/>
      <c r="N20" s="291" t="e">
        <f t="shared" si="22"/>
        <v>#DIV/0!</v>
      </c>
      <c r="O20" s="291" t="e">
        <f t="shared" ref="O20:R20" si="24">O15/O18</f>
        <v>#DIV/0!</v>
      </c>
      <c r="P20" s="291" t="e">
        <f t="shared" si="24"/>
        <v>#DIV/0!</v>
      </c>
      <c r="Q20" s="291" t="e">
        <f t="shared" si="24"/>
        <v>#DIV/0!</v>
      </c>
      <c r="R20" s="291" t="e">
        <f t="shared" si="24"/>
        <v>#DIV/0!</v>
      </c>
      <c r="S20" s="291"/>
      <c r="T20" s="291" t="e">
        <f t="shared" si="22"/>
        <v>#DIV/0!</v>
      </c>
      <c r="U20" s="291" t="e">
        <f t="shared" ref="U20:X20" si="25">U15/U18</f>
        <v>#DIV/0!</v>
      </c>
      <c r="V20" s="291" t="e">
        <f t="shared" si="25"/>
        <v>#DIV/0!</v>
      </c>
      <c r="W20" s="291" t="e">
        <f t="shared" si="25"/>
        <v>#DIV/0!</v>
      </c>
      <c r="X20" s="291" t="e">
        <f t="shared" si="25"/>
        <v>#DIV/0!</v>
      </c>
      <c r="Y20" s="291"/>
      <c r="Z20" s="292" t="e">
        <f t="shared" si="22"/>
        <v>#DIV/0!</v>
      </c>
      <c r="AA20" s="292" t="e">
        <f t="shared" ref="AA20:AD20" si="26">AA15/AA18</f>
        <v>#DIV/0!</v>
      </c>
      <c r="AB20" s="292" t="e">
        <f t="shared" si="26"/>
        <v>#DIV/0!</v>
      </c>
      <c r="AC20" s="292" t="e">
        <f t="shared" si="26"/>
        <v>#DIV/0!</v>
      </c>
      <c r="AD20" s="292" t="e">
        <f t="shared" si="26"/>
        <v>#DIV/0!</v>
      </c>
      <c r="AE20" s="264"/>
      <c r="AF20" s="292" t="e">
        <f t="shared" si="22"/>
        <v>#DIV/0!</v>
      </c>
      <c r="AG20" s="292" t="e">
        <f t="shared" ref="AG20:AJ20" si="27">AG15/AG18</f>
        <v>#DIV/0!</v>
      </c>
      <c r="AH20" s="292" t="e">
        <f t="shared" si="27"/>
        <v>#DIV/0!</v>
      </c>
      <c r="AI20" s="292" t="e">
        <f t="shared" si="27"/>
        <v>#DIV/0!</v>
      </c>
      <c r="AJ20" s="292" t="e">
        <f t="shared" si="27"/>
        <v>#DIV/0!</v>
      </c>
      <c r="AK20" s="264"/>
      <c r="AL20" s="113"/>
    </row>
    <row r="21" spans="1:39" ht="14" customHeight="1">
      <c r="A21" s="295" t="s">
        <v>14</v>
      </c>
      <c r="B21" s="281" t="e">
        <f>((B5-B4)/2.2046)/(B15/1000)</f>
        <v>#DIV/0!</v>
      </c>
      <c r="C21" s="281" t="e">
        <f t="shared" ref="C21:F21" si="28">((C5-C4)/2.2046)/(C15/1000)</f>
        <v>#DIV/0!</v>
      </c>
      <c r="D21" s="281" t="e">
        <f t="shared" si="28"/>
        <v>#DIV/0!</v>
      </c>
      <c r="E21" s="281" t="e">
        <f t="shared" si="28"/>
        <v>#DIV/0!</v>
      </c>
      <c r="F21" s="281" t="e">
        <f t="shared" si="28"/>
        <v>#DIV/0!</v>
      </c>
      <c r="G21" s="281"/>
      <c r="H21" s="281" t="e">
        <f t="shared" ref="H21:AF21" si="29">((H5-H4)/2.2046)/(H15/1000)</f>
        <v>#DIV/0!</v>
      </c>
      <c r="I21" s="281" t="e">
        <f t="shared" ref="I21:L21" si="30">((I5-I4)/2.2046)/(I15/1000)</f>
        <v>#DIV/0!</v>
      </c>
      <c r="J21" s="281" t="e">
        <f t="shared" si="30"/>
        <v>#DIV/0!</v>
      </c>
      <c r="K21" s="281" t="e">
        <f t="shared" si="30"/>
        <v>#DIV/0!</v>
      </c>
      <c r="L21" s="281" t="e">
        <f t="shared" si="30"/>
        <v>#DIV/0!</v>
      </c>
      <c r="M21" s="281"/>
      <c r="N21" s="281" t="e">
        <f t="shared" si="29"/>
        <v>#DIV/0!</v>
      </c>
      <c r="O21" s="281" t="e">
        <f t="shared" ref="O21:R21" si="31">((O5-O4)/2.2046)/(O15/1000)</f>
        <v>#DIV/0!</v>
      </c>
      <c r="P21" s="281" t="e">
        <f t="shared" si="31"/>
        <v>#DIV/0!</v>
      </c>
      <c r="Q21" s="281" t="e">
        <f t="shared" si="31"/>
        <v>#DIV/0!</v>
      </c>
      <c r="R21" s="281" t="e">
        <f t="shared" si="31"/>
        <v>#DIV/0!</v>
      </c>
      <c r="S21" s="281"/>
      <c r="T21" s="281" t="e">
        <f t="shared" si="29"/>
        <v>#DIV/0!</v>
      </c>
      <c r="U21" s="281" t="e">
        <f t="shared" ref="U21:X21" si="32">((U5-U4)/2.2046)/(U15/1000)</f>
        <v>#DIV/0!</v>
      </c>
      <c r="V21" s="281" t="e">
        <f t="shared" si="32"/>
        <v>#DIV/0!</v>
      </c>
      <c r="W21" s="281" t="e">
        <f t="shared" si="32"/>
        <v>#DIV/0!</v>
      </c>
      <c r="X21" s="281" t="e">
        <f t="shared" si="32"/>
        <v>#DIV/0!</v>
      </c>
      <c r="Y21" s="281"/>
      <c r="Z21" s="282" t="e">
        <f t="shared" si="29"/>
        <v>#DIV/0!</v>
      </c>
      <c r="AA21" s="282" t="e">
        <f t="shared" ref="AA21:AD21" si="33">((AA5-AA4)/2.2046)/(AA15/1000)</f>
        <v>#DIV/0!</v>
      </c>
      <c r="AB21" s="282" t="e">
        <f t="shared" si="33"/>
        <v>#DIV/0!</v>
      </c>
      <c r="AC21" s="282" t="e">
        <f t="shared" si="33"/>
        <v>#DIV/0!</v>
      </c>
      <c r="AD21" s="282" t="e">
        <f t="shared" si="33"/>
        <v>#DIV/0!</v>
      </c>
      <c r="AE21" s="260"/>
      <c r="AF21" s="282" t="e">
        <f t="shared" si="29"/>
        <v>#DIV/0!</v>
      </c>
      <c r="AG21" s="282" t="e">
        <f t="shared" ref="AG21:AJ21" si="34">((AG5-AG4)/2.2046)/(AG15/1000)</f>
        <v>#DIV/0!</v>
      </c>
      <c r="AH21" s="282" t="e">
        <f t="shared" si="34"/>
        <v>#DIV/0!</v>
      </c>
      <c r="AI21" s="282" t="e">
        <f t="shared" si="34"/>
        <v>#DIV/0!</v>
      </c>
      <c r="AJ21" s="282" t="e">
        <f t="shared" si="34"/>
        <v>#DIV/0!</v>
      </c>
      <c r="AK21" s="260"/>
      <c r="AL21" s="114"/>
      <c r="AM21" s="120"/>
    </row>
    <row r="22" spans="1:39" ht="14" customHeight="1">
      <c r="A22" s="295" t="s">
        <v>17</v>
      </c>
      <c r="B22" s="293" t="e">
        <f>(B21*(B20/1000)*(B7/2000)*2.2046)</f>
        <v>#DIV/0!</v>
      </c>
      <c r="C22" s="293" t="e">
        <f t="shared" ref="C22:F22" si="35">(C21*(C20/1000)*(C7/2000)*2.2046)</f>
        <v>#DIV/0!</v>
      </c>
      <c r="D22" s="293" t="e">
        <f t="shared" si="35"/>
        <v>#DIV/0!</v>
      </c>
      <c r="E22" s="293" t="e">
        <f t="shared" si="35"/>
        <v>#DIV/0!</v>
      </c>
      <c r="F22" s="293" t="e">
        <f t="shared" si="35"/>
        <v>#DIV/0!</v>
      </c>
      <c r="G22" s="293"/>
      <c r="H22" s="293" t="e">
        <f t="shared" ref="H22:AF22" si="36">(H21*(H20/1000)*(H7/2000)*2.2046)</f>
        <v>#DIV/0!</v>
      </c>
      <c r="I22" s="293" t="e">
        <f t="shared" ref="I22:L22" si="37">(I21*(I20/1000)*(I7/2000)*2.2046)</f>
        <v>#DIV/0!</v>
      </c>
      <c r="J22" s="293" t="e">
        <f t="shared" si="37"/>
        <v>#DIV/0!</v>
      </c>
      <c r="K22" s="293" t="e">
        <f t="shared" si="37"/>
        <v>#DIV/0!</v>
      </c>
      <c r="L22" s="293" t="e">
        <f t="shared" si="37"/>
        <v>#DIV/0!</v>
      </c>
      <c r="M22" s="293"/>
      <c r="N22" s="293" t="e">
        <f t="shared" si="36"/>
        <v>#DIV/0!</v>
      </c>
      <c r="O22" s="293" t="e">
        <f t="shared" ref="O22:R22" si="38">(O21*(O20/1000)*(O7/2000)*2.2046)</f>
        <v>#DIV/0!</v>
      </c>
      <c r="P22" s="293" t="e">
        <f t="shared" si="38"/>
        <v>#DIV/0!</v>
      </c>
      <c r="Q22" s="293" t="e">
        <f t="shared" si="38"/>
        <v>#DIV/0!</v>
      </c>
      <c r="R22" s="293" t="e">
        <f t="shared" si="38"/>
        <v>#DIV/0!</v>
      </c>
      <c r="S22" s="293"/>
      <c r="T22" s="293" t="e">
        <f t="shared" si="36"/>
        <v>#DIV/0!</v>
      </c>
      <c r="U22" s="293" t="e">
        <f t="shared" ref="U22:X22" si="39">(U21*(U20/1000)*(U7/2000)*2.2046)</f>
        <v>#DIV/0!</v>
      </c>
      <c r="V22" s="293" t="e">
        <f t="shared" si="39"/>
        <v>#DIV/0!</v>
      </c>
      <c r="W22" s="293" t="e">
        <f t="shared" si="39"/>
        <v>#DIV/0!</v>
      </c>
      <c r="X22" s="293" t="e">
        <f t="shared" si="39"/>
        <v>#DIV/0!</v>
      </c>
      <c r="Y22" s="293"/>
      <c r="Z22" s="294" t="e">
        <f t="shared" si="36"/>
        <v>#DIV/0!</v>
      </c>
      <c r="AA22" s="294" t="e">
        <f t="shared" ref="AA22:AD22" si="40">(AA21*(AA20/1000)*(AA7/2000)*2.2046)</f>
        <v>#DIV/0!</v>
      </c>
      <c r="AB22" s="294" t="e">
        <f t="shared" si="40"/>
        <v>#DIV/0!</v>
      </c>
      <c r="AC22" s="294" t="e">
        <f t="shared" si="40"/>
        <v>#DIV/0!</v>
      </c>
      <c r="AD22" s="294" t="e">
        <f t="shared" si="40"/>
        <v>#DIV/0!</v>
      </c>
      <c r="AE22" s="160"/>
      <c r="AF22" s="294" t="e">
        <f t="shared" si="36"/>
        <v>#DIV/0!</v>
      </c>
      <c r="AG22" s="294" t="e">
        <f t="shared" ref="AG22:AJ22" si="41">(AG21*(AG20/1000)*(AG7/2000)*2.2046)</f>
        <v>#DIV/0!</v>
      </c>
      <c r="AH22" s="294" t="e">
        <f t="shared" si="41"/>
        <v>#DIV/0!</v>
      </c>
      <c r="AI22" s="294" t="e">
        <f t="shared" si="41"/>
        <v>#DIV/0!</v>
      </c>
      <c r="AJ22" s="294" t="e">
        <f t="shared" si="41"/>
        <v>#DIV/0!</v>
      </c>
      <c r="AK22" s="160"/>
      <c r="AL22" s="111"/>
    </row>
    <row r="23" spans="1:39" ht="14" customHeight="1">
      <c r="A23" s="295" t="s">
        <v>15</v>
      </c>
      <c r="B23" s="281" t="e">
        <f>B15/1000*B21*2.2046</f>
        <v>#DIV/0!</v>
      </c>
      <c r="C23" s="281" t="e">
        <f t="shared" ref="C23:F23" si="42">C15/1000*C21*2.2046</f>
        <v>#DIV/0!</v>
      </c>
      <c r="D23" s="281" t="e">
        <f t="shared" si="42"/>
        <v>#DIV/0!</v>
      </c>
      <c r="E23" s="281" t="e">
        <f t="shared" si="42"/>
        <v>#DIV/0!</v>
      </c>
      <c r="F23" s="281" t="e">
        <f t="shared" si="42"/>
        <v>#DIV/0!</v>
      </c>
      <c r="G23" s="281"/>
      <c r="H23" s="281" t="e">
        <f t="shared" ref="H23:AF23" si="43">H15/1000*H21*2.2046</f>
        <v>#DIV/0!</v>
      </c>
      <c r="I23" s="281" t="e">
        <f t="shared" ref="I23:L23" si="44">I15/1000*I21*2.2046</f>
        <v>#DIV/0!</v>
      </c>
      <c r="J23" s="281" t="e">
        <f t="shared" si="44"/>
        <v>#DIV/0!</v>
      </c>
      <c r="K23" s="281" t="e">
        <f t="shared" si="44"/>
        <v>#DIV/0!</v>
      </c>
      <c r="L23" s="281" t="e">
        <f t="shared" si="44"/>
        <v>#DIV/0!</v>
      </c>
      <c r="M23" s="281"/>
      <c r="N23" s="281" t="e">
        <f t="shared" si="43"/>
        <v>#DIV/0!</v>
      </c>
      <c r="O23" s="281" t="e">
        <f t="shared" ref="O23:R23" si="45">O15/1000*O21*2.2046</f>
        <v>#DIV/0!</v>
      </c>
      <c r="P23" s="281" t="e">
        <f t="shared" si="45"/>
        <v>#DIV/0!</v>
      </c>
      <c r="Q23" s="281" t="e">
        <f t="shared" si="45"/>
        <v>#DIV/0!</v>
      </c>
      <c r="R23" s="281" t="e">
        <f t="shared" si="45"/>
        <v>#DIV/0!</v>
      </c>
      <c r="S23" s="281"/>
      <c r="T23" s="281" t="e">
        <f t="shared" si="43"/>
        <v>#DIV/0!</v>
      </c>
      <c r="U23" s="281" t="e">
        <f t="shared" ref="U23:X23" si="46">U15/1000*U21*2.2046</f>
        <v>#DIV/0!</v>
      </c>
      <c r="V23" s="281" t="e">
        <f t="shared" si="46"/>
        <v>#DIV/0!</v>
      </c>
      <c r="W23" s="281" t="e">
        <f t="shared" si="46"/>
        <v>#DIV/0!</v>
      </c>
      <c r="X23" s="281" t="e">
        <f t="shared" si="46"/>
        <v>#DIV/0!</v>
      </c>
      <c r="Y23" s="281"/>
      <c r="Z23" s="282" t="e">
        <f t="shared" si="43"/>
        <v>#DIV/0!</v>
      </c>
      <c r="AA23" s="282" t="e">
        <f t="shared" ref="AA23:AD23" si="47">AA15/1000*AA21*2.2046</f>
        <v>#DIV/0!</v>
      </c>
      <c r="AB23" s="282" t="e">
        <f t="shared" si="47"/>
        <v>#DIV/0!</v>
      </c>
      <c r="AC23" s="282" t="e">
        <f t="shared" si="47"/>
        <v>#DIV/0!</v>
      </c>
      <c r="AD23" s="282" t="e">
        <f t="shared" si="47"/>
        <v>#DIV/0!</v>
      </c>
      <c r="AE23" s="260"/>
      <c r="AF23" s="282" t="e">
        <f t="shared" si="43"/>
        <v>#DIV/0!</v>
      </c>
      <c r="AG23" s="282" t="e">
        <f t="shared" ref="AG23:AJ23" si="48">AG15/1000*AG21*2.2046</f>
        <v>#DIV/0!</v>
      </c>
      <c r="AH23" s="282" t="e">
        <f t="shared" si="48"/>
        <v>#DIV/0!</v>
      </c>
      <c r="AI23" s="282" t="e">
        <f t="shared" si="48"/>
        <v>#DIV/0!</v>
      </c>
      <c r="AJ23" s="282" t="e">
        <f t="shared" si="48"/>
        <v>#DIV/0!</v>
      </c>
      <c r="AK23" s="260"/>
      <c r="AL23" s="116"/>
    </row>
    <row r="24" spans="1:39" ht="14" customHeight="1">
      <c r="A24" s="295" t="s">
        <v>27</v>
      </c>
      <c r="B24" s="293" t="e">
        <f>((B22/(B5-B4)))</f>
        <v>#DIV/0!</v>
      </c>
      <c r="C24" s="293" t="e">
        <f t="shared" ref="C24:F24" si="49">((C22/(C5-C4)))</f>
        <v>#DIV/0!</v>
      </c>
      <c r="D24" s="293" t="e">
        <f t="shared" si="49"/>
        <v>#DIV/0!</v>
      </c>
      <c r="E24" s="293" t="e">
        <f t="shared" si="49"/>
        <v>#DIV/0!</v>
      </c>
      <c r="F24" s="293" t="e">
        <f t="shared" si="49"/>
        <v>#DIV/0!</v>
      </c>
      <c r="G24" s="293"/>
      <c r="H24" s="293" t="e">
        <f t="shared" ref="H24:AF24" si="50">((H22/(H5-H4)))</f>
        <v>#DIV/0!</v>
      </c>
      <c r="I24" s="293" t="e">
        <f t="shared" ref="I24:L24" si="51">((I22/(I5-I4)))</f>
        <v>#DIV/0!</v>
      </c>
      <c r="J24" s="293" t="e">
        <f t="shared" si="51"/>
        <v>#DIV/0!</v>
      </c>
      <c r="K24" s="293" t="e">
        <f t="shared" si="51"/>
        <v>#DIV/0!</v>
      </c>
      <c r="L24" s="293" t="e">
        <f t="shared" si="51"/>
        <v>#DIV/0!</v>
      </c>
      <c r="M24" s="293"/>
      <c r="N24" s="293" t="e">
        <f t="shared" si="50"/>
        <v>#DIV/0!</v>
      </c>
      <c r="O24" s="293" t="e">
        <f t="shared" ref="O24:R24" si="52">((O22/(O5-O4)))</f>
        <v>#DIV/0!</v>
      </c>
      <c r="P24" s="293" t="e">
        <f t="shared" si="52"/>
        <v>#DIV/0!</v>
      </c>
      <c r="Q24" s="293" t="e">
        <f t="shared" si="52"/>
        <v>#DIV/0!</v>
      </c>
      <c r="R24" s="293" t="e">
        <f t="shared" si="52"/>
        <v>#DIV/0!</v>
      </c>
      <c r="S24" s="293"/>
      <c r="T24" s="293" t="e">
        <f t="shared" si="50"/>
        <v>#DIV/0!</v>
      </c>
      <c r="U24" s="293" t="e">
        <f t="shared" ref="U24:X24" si="53">((U22/(U5-U4)))</f>
        <v>#DIV/0!</v>
      </c>
      <c r="V24" s="293" t="e">
        <f t="shared" si="53"/>
        <v>#DIV/0!</v>
      </c>
      <c r="W24" s="293" t="e">
        <f t="shared" si="53"/>
        <v>#DIV/0!</v>
      </c>
      <c r="X24" s="293" t="e">
        <f t="shared" si="53"/>
        <v>#DIV/0!</v>
      </c>
      <c r="Y24" s="293"/>
      <c r="Z24" s="294" t="e">
        <f t="shared" si="50"/>
        <v>#DIV/0!</v>
      </c>
      <c r="AA24" s="294" t="e">
        <f t="shared" ref="AA24:AD24" si="54">((AA22/(AA5-AA4)))</f>
        <v>#DIV/0!</v>
      </c>
      <c r="AB24" s="294" t="e">
        <f t="shared" si="54"/>
        <v>#DIV/0!</v>
      </c>
      <c r="AC24" s="294" t="e">
        <f t="shared" si="54"/>
        <v>#DIV/0!</v>
      </c>
      <c r="AD24" s="294" t="e">
        <f t="shared" si="54"/>
        <v>#DIV/0!</v>
      </c>
      <c r="AE24" s="160"/>
      <c r="AF24" s="294" t="e">
        <f t="shared" si="50"/>
        <v>#DIV/0!</v>
      </c>
      <c r="AG24" s="294" t="e">
        <f t="shared" ref="AG24:AJ24" si="55">((AG22/(AG5-AG4)))</f>
        <v>#DIV/0!</v>
      </c>
      <c r="AH24" s="294" t="e">
        <f t="shared" si="55"/>
        <v>#DIV/0!</v>
      </c>
      <c r="AI24" s="294" t="e">
        <f t="shared" si="55"/>
        <v>#DIV/0!</v>
      </c>
      <c r="AJ24" s="294" t="e">
        <f t="shared" si="55"/>
        <v>#DIV/0!</v>
      </c>
      <c r="AK24" s="160"/>
      <c r="AL24" s="107"/>
    </row>
    <row r="25" spans="1:39" ht="14" customHeight="1">
      <c r="A25" s="295" t="s">
        <v>34</v>
      </c>
      <c r="B25" s="281" t="e">
        <f>(B20/1000)*2.2046*B21</f>
        <v>#DIV/0!</v>
      </c>
      <c r="C25" s="281" t="e">
        <f t="shared" ref="C25:F25" si="56">(C20/1000)*2.2046*C21</f>
        <v>#DIV/0!</v>
      </c>
      <c r="D25" s="281" t="e">
        <f t="shared" si="56"/>
        <v>#DIV/0!</v>
      </c>
      <c r="E25" s="281" t="e">
        <f t="shared" si="56"/>
        <v>#DIV/0!</v>
      </c>
      <c r="F25" s="281" t="e">
        <f t="shared" si="56"/>
        <v>#DIV/0!</v>
      </c>
      <c r="G25" s="281"/>
      <c r="H25" s="281" t="e">
        <f t="shared" ref="H25:AF25" si="57">(H20/1000)*2.2046*H21</f>
        <v>#DIV/0!</v>
      </c>
      <c r="I25" s="281" t="e">
        <f t="shared" ref="I25:L25" si="58">(I20/1000)*2.2046*I21</f>
        <v>#DIV/0!</v>
      </c>
      <c r="J25" s="281" t="e">
        <f t="shared" si="58"/>
        <v>#DIV/0!</v>
      </c>
      <c r="K25" s="281" t="e">
        <f t="shared" si="58"/>
        <v>#DIV/0!</v>
      </c>
      <c r="L25" s="281" t="e">
        <f t="shared" si="58"/>
        <v>#DIV/0!</v>
      </c>
      <c r="M25" s="281"/>
      <c r="N25" s="281" t="e">
        <f t="shared" si="57"/>
        <v>#DIV/0!</v>
      </c>
      <c r="O25" s="281" t="e">
        <f t="shared" ref="O25:R25" si="59">(O20/1000)*2.2046*O21</f>
        <v>#DIV/0!</v>
      </c>
      <c r="P25" s="281" t="e">
        <f t="shared" si="59"/>
        <v>#DIV/0!</v>
      </c>
      <c r="Q25" s="281" t="e">
        <f t="shared" si="59"/>
        <v>#DIV/0!</v>
      </c>
      <c r="R25" s="281" t="e">
        <f t="shared" si="59"/>
        <v>#DIV/0!</v>
      </c>
      <c r="S25" s="281"/>
      <c r="T25" s="281" t="e">
        <f t="shared" si="57"/>
        <v>#DIV/0!</v>
      </c>
      <c r="U25" s="281" t="e">
        <f t="shared" ref="U25:X25" si="60">(U20/1000)*2.2046*U21</f>
        <v>#DIV/0!</v>
      </c>
      <c r="V25" s="281" t="e">
        <f t="shared" si="60"/>
        <v>#DIV/0!</v>
      </c>
      <c r="W25" s="281" t="e">
        <f t="shared" si="60"/>
        <v>#DIV/0!</v>
      </c>
      <c r="X25" s="281" t="e">
        <f t="shared" si="60"/>
        <v>#DIV/0!</v>
      </c>
      <c r="Y25" s="281"/>
      <c r="Z25" s="282" t="e">
        <f t="shared" si="57"/>
        <v>#DIV/0!</v>
      </c>
      <c r="AA25" s="282" t="e">
        <f t="shared" ref="AA25:AD25" si="61">(AA20/1000)*2.2046*AA21</f>
        <v>#DIV/0!</v>
      </c>
      <c r="AB25" s="282" t="e">
        <f t="shared" si="61"/>
        <v>#DIV/0!</v>
      </c>
      <c r="AC25" s="282" t="e">
        <f t="shared" si="61"/>
        <v>#DIV/0!</v>
      </c>
      <c r="AD25" s="282" t="e">
        <f t="shared" si="61"/>
        <v>#DIV/0!</v>
      </c>
      <c r="AE25" s="260"/>
      <c r="AF25" s="282" t="e">
        <f t="shared" si="57"/>
        <v>#DIV/0!</v>
      </c>
      <c r="AG25" s="282" t="e">
        <f t="shared" ref="AG25:AJ25" si="62">(AG20/1000)*2.2046*AG21</f>
        <v>#DIV/0!</v>
      </c>
      <c r="AH25" s="282" t="e">
        <f t="shared" si="62"/>
        <v>#DIV/0!</v>
      </c>
      <c r="AI25" s="282" t="e">
        <f t="shared" si="62"/>
        <v>#DIV/0!</v>
      </c>
      <c r="AJ25" s="282" t="e">
        <f t="shared" si="62"/>
        <v>#DIV/0!</v>
      </c>
      <c r="AK25" s="160"/>
      <c r="AL25" s="118"/>
    </row>
    <row r="26" spans="1:39" ht="14" customHeight="1">
      <c r="A26" s="295" t="s">
        <v>138</v>
      </c>
      <c r="B26" s="293" t="e">
        <f>B22+(B21*Inputs!$G$6)</f>
        <v>#DIV/0!</v>
      </c>
      <c r="C26" s="293" t="e">
        <f>C22+(C21*Inputs!$G$6)</f>
        <v>#DIV/0!</v>
      </c>
      <c r="D26" s="293" t="e">
        <f>D22+(D21*Inputs!$G$6)</f>
        <v>#DIV/0!</v>
      </c>
      <c r="E26" s="293" t="e">
        <f>E22+(E21*Inputs!$G$6)</f>
        <v>#DIV/0!</v>
      </c>
      <c r="F26" s="293" t="e">
        <f>F22+(F21*Inputs!$G$6)</f>
        <v>#DIV/0!</v>
      </c>
      <c r="G26" s="293"/>
      <c r="H26" s="293" t="e">
        <f>H22+(H21*Inputs!$G$6)</f>
        <v>#DIV/0!</v>
      </c>
      <c r="I26" s="293" t="e">
        <f>I22+(I21*Inputs!$G$6)</f>
        <v>#DIV/0!</v>
      </c>
      <c r="J26" s="293" t="e">
        <f>J22+(J21*Inputs!$G$6)</f>
        <v>#DIV/0!</v>
      </c>
      <c r="K26" s="293" t="e">
        <f>K22+(K21*Inputs!$G$6)</f>
        <v>#DIV/0!</v>
      </c>
      <c r="L26" s="293" t="e">
        <f>L22+(L21*Inputs!$G$6)</f>
        <v>#DIV/0!</v>
      </c>
      <c r="M26" s="293"/>
      <c r="N26" s="293" t="e">
        <f>N22+(N21*Inputs!$G$6)</f>
        <v>#DIV/0!</v>
      </c>
      <c r="O26" s="293" t="e">
        <f>O22+(O21*Inputs!$G$6)</f>
        <v>#DIV/0!</v>
      </c>
      <c r="P26" s="293" t="e">
        <f>P22+(P21*Inputs!$G$6)</f>
        <v>#DIV/0!</v>
      </c>
      <c r="Q26" s="293" t="e">
        <f>Q22+(Q21*Inputs!$G$6)</f>
        <v>#DIV/0!</v>
      </c>
      <c r="R26" s="293" t="e">
        <f>R22+(R21*Inputs!$G$6)</f>
        <v>#DIV/0!</v>
      </c>
      <c r="S26" s="293"/>
      <c r="T26" s="293" t="e">
        <f>T22+(T21*Inputs!$G$6)</f>
        <v>#DIV/0!</v>
      </c>
      <c r="U26" s="293" t="e">
        <f>U22+(U21*Inputs!$G$6)</f>
        <v>#DIV/0!</v>
      </c>
      <c r="V26" s="293" t="e">
        <f>V22+(V21*Inputs!$G$6)</f>
        <v>#DIV/0!</v>
      </c>
      <c r="W26" s="293" t="e">
        <f>W22+(W21*Inputs!$G$6)</f>
        <v>#DIV/0!</v>
      </c>
      <c r="X26" s="293" t="e">
        <f>X22+(X21*Inputs!$G$6)</f>
        <v>#DIV/0!</v>
      </c>
      <c r="Y26" s="293"/>
      <c r="Z26" s="294" t="e">
        <f>Z22+(Z21*Inputs!$G$6)</f>
        <v>#DIV/0!</v>
      </c>
      <c r="AA26" s="294" t="e">
        <f>AA22+(AA21*Inputs!$G$6)</f>
        <v>#DIV/0!</v>
      </c>
      <c r="AB26" s="294" t="e">
        <f>AB22+(AB21*Inputs!$G$6)</f>
        <v>#DIV/0!</v>
      </c>
      <c r="AC26" s="294" t="e">
        <f>AC22+(AC21*Inputs!$G$6)</f>
        <v>#DIV/0!</v>
      </c>
      <c r="AD26" s="294" t="e">
        <f>AD22+(AD21*Inputs!$G$6)</f>
        <v>#DIV/0!</v>
      </c>
      <c r="AE26" s="160"/>
      <c r="AF26" s="294" t="e">
        <f>AF22+(AF21*Inputs!$G$6)</f>
        <v>#DIV/0!</v>
      </c>
      <c r="AG26" s="294" t="e">
        <f>AG22+(AG21*Inputs!$G$6)</f>
        <v>#DIV/0!</v>
      </c>
      <c r="AH26" s="294" t="e">
        <f>AH22+(AH21*Inputs!$G$6)</f>
        <v>#DIV/0!</v>
      </c>
      <c r="AI26" s="294" t="e">
        <f>AI22+(AI21*Inputs!$G$6)</f>
        <v>#DIV/0!</v>
      </c>
      <c r="AJ26" s="294" t="e">
        <f>AJ22+(AJ21*Inputs!$G$6)</f>
        <v>#DIV/0!</v>
      </c>
      <c r="AK26" s="160"/>
      <c r="AL26" s="119"/>
    </row>
    <row r="27" spans="1:39" ht="14" customHeight="1">
      <c r="A27" s="295" t="s">
        <v>19</v>
      </c>
      <c r="B27" s="293" t="e">
        <f>B23*Inputs!$G$3</f>
        <v>#DIV/0!</v>
      </c>
      <c r="C27" s="293" t="e">
        <f>C23*Inputs!$G$3</f>
        <v>#DIV/0!</v>
      </c>
      <c r="D27" s="293" t="e">
        <f>D23*Inputs!$G$3</f>
        <v>#DIV/0!</v>
      </c>
      <c r="E27" s="293" t="e">
        <f>E23*Inputs!$G$3</f>
        <v>#DIV/0!</v>
      </c>
      <c r="F27" s="293" t="e">
        <f>F23*Inputs!$G$3</f>
        <v>#DIV/0!</v>
      </c>
      <c r="G27" s="293"/>
      <c r="H27" s="293" t="e">
        <f>H23*Inputs!$G$3</f>
        <v>#DIV/0!</v>
      </c>
      <c r="I27" s="293" t="e">
        <f>I23*Inputs!$G$3</f>
        <v>#DIV/0!</v>
      </c>
      <c r="J27" s="293" t="e">
        <f>J23*Inputs!$G$3</f>
        <v>#DIV/0!</v>
      </c>
      <c r="K27" s="293" t="e">
        <f>K23*Inputs!$G$3</f>
        <v>#DIV/0!</v>
      </c>
      <c r="L27" s="293" t="e">
        <f>L23*Inputs!$G$3</f>
        <v>#DIV/0!</v>
      </c>
      <c r="M27" s="293"/>
      <c r="N27" s="293" t="e">
        <f>N23*Inputs!$G$3</f>
        <v>#DIV/0!</v>
      </c>
      <c r="O27" s="293" t="e">
        <f>O23*Inputs!$G$3</f>
        <v>#DIV/0!</v>
      </c>
      <c r="P27" s="293" t="e">
        <f>P23*Inputs!$G$3</f>
        <v>#DIV/0!</v>
      </c>
      <c r="Q27" s="293" t="e">
        <f>Q23*Inputs!$G$3</f>
        <v>#DIV/0!</v>
      </c>
      <c r="R27" s="293" t="e">
        <f>R23*Inputs!$G$3</f>
        <v>#DIV/0!</v>
      </c>
      <c r="S27" s="293"/>
      <c r="T27" s="293" t="e">
        <f>T23*Inputs!$G$3</f>
        <v>#DIV/0!</v>
      </c>
      <c r="U27" s="293" t="e">
        <f>U23*Inputs!$G$3</f>
        <v>#DIV/0!</v>
      </c>
      <c r="V27" s="293" t="e">
        <f>V23*Inputs!$G$3</f>
        <v>#DIV/0!</v>
      </c>
      <c r="W27" s="293" t="e">
        <f>W23*Inputs!$G$3</f>
        <v>#DIV/0!</v>
      </c>
      <c r="X27" s="293" t="e">
        <f>X23*Inputs!$G$3</f>
        <v>#DIV/0!</v>
      </c>
      <c r="Y27" s="293"/>
      <c r="Z27" s="294" t="e">
        <f>Z23*Inputs!$G$3</f>
        <v>#DIV/0!</v>
      </c>
      <c r="AA27" s="294" t="e">
        <f>AA23*Inputs!$G$3</f>
        <v>#DIV/0!</v>
      </c>
      <c r="AB27" s="294" t="e">
        <f>AB23*Inputs!$G$3</f>
        <v>#DIV/0!</v>
      </c>
      <c r="AC27" s="294" t="e">
        <f>AC23*Inputs!$G$3</f>
        <v>#DIV/0!</v>
      </c>
      <c r="AD27" s="294" t="e">
        <f>AD23*Inputs!$G$3</f>
        <v>#DIV/0!</v>
      </c>
      <c r="AE27" s="160"/>
      <c r="AF27" s="294" t="e">
        <f>AF23*Inputs!$G$3</f>
        <v>#DIV/0!</v>
      </c>
      <c r="AG27" s="294" t="e">
        <f>AG23*Inputs!$G$3</f>
        <v>#DIV/0!</v>
      </c>
      <c r="AH27" s="294" t="e">
        <f>AH23*Inputs!$G$3</f>
        <v>#DIV/0!</v>
      </c>
      <c r="AI27" s="294" t="e">
        <f>AI23*Inputs!$G$3</f>
        <v>#DIV/0!</v>
      </c>
      <c r="AJ27" s="294" t="e">
        <f>AJ23*Inputs!$G$3</f>
        <v>#DIV/0!</v>
      </c>
      <c r="AK27" s="160"/>
      <c r="AL27" s="119"/>
    </row>
    <row r="28" spans="1:39" ht="14" customHeight="1">
      <c r="A28" s="295" t="s">
        <v>35</v>
      </c>
      <c r="B28" s="293" t="e">
        <f>B27-B22</f>
        <v>#DIV/0!</v>
      </c>
      <c r="C28" s="293" t="e">
        <f t="shared" ref="C28:F28" si="63">C27-C22</f>
        <v>#DIV/0!</v>
      </c>
      <c r="D28" s="293" t="e">
        <f t="shared" si="63"/>
        <v>#DIV/0!</v>
      </c>
      <c r="E28" s="293" t="e">
        <f t="shared" si="63"/>
        <v>#DIV/0!</v>
      </c>
      <c r="F28" s="293" t="e">
        <f t="shared" si="63"/>
        <v>#DIV/0!</v>
      </c>
      <c r="G28" s="293"/>
      <c r="H28" s="293" t="e">
        <f t="shared" ref="H28:AF28" si="64">H27-H22</f>
        <v>#DIV/0!</v>
      </c>
      <c r="I28" s="293" t="e">
        <f t="shared" ref="I28:L28" si="65">I27-I22</f>
        <v>#DIV/0!</v>
      </c>
      <c r="J28" s="293" t="e">
        <f t="shared" si="65"/>
        <v>#DIV/0!</v>
      </c>
      <c r="K28" s="293" t="e">
        <f t="shared" si="65"/>
        <v>#DIV/0!</v>
      </c>
      <c r="L28" s="293" t="e">
        <f t="shared" si="65"/>
        <v>#DIV/0!</v>
      </c>
      <c r="M28" s="293"/>
      <c r="N28" s="293" t="e">
        <f t="shared" si="64"/>
        <v>#DIV/0!</v>
      </c>
      <c r="O28" s="293" t="e">
        <f t="shared" ref="O28:R28" si="66">O27-O22</f>
        <v>#DIV/0!</v>
      </c>
      <c r="P28" s="293" t="e">
        <f t="shared" si="66"/>
        <v>#DIV/0!</v>
      </c>
      <c r="Q28" s="293" t="e">
        <f t="shared" si="66"/>
        <v>#DIV/0!</v>
      </c>
      <c r="R28" s="293" t="e">
        <f t="shared" si="66"/>
        <v>#DIV/0!</v>
      </c>
      <c r="S28" s="293"/>
      <c r="T28" s="293" t="e">
        <f t="shared" si="64"/>
        <v>#DIV/0!</v>
      </c>
      <c r="U28" s="293" t="e">
        <f t="shared" ref="U28:X28" si="67">U27-U22</f>
        <v>#DIV/0!</v>
      </c>
      <c r="V28" s="293" t="e">
        <f t="shared" si="67"/>
        <v>#DIV/0!</v>
      </c>
      <c r="W28" s="293" t="e">
        <f t="shared" si="67"/>
        <v>#DIV/0!</v>
      </c>
      <c r="X28" s="293" t="e">
        <f t="shared" si="67"/>
        <v>#DIV/0!</v>
      </c>
      <c r="Y28" s="293"/>
      <c r="Z28" s="294" t="e">
        <f t="shared" si="64"/>
        <v>#DIV/0!</v>
      </c>
      <c r="AA28" s="294" t="e">
        <f t="shared" ref="AA28:AD28" si="68">AA27-AA22</f>
        <v>#DIV/0!</v>
      </c>
      <c r="AB28" s="294" t="e">
        <f t="shared" si="68"/>
        <v>#DIV/0!</v>
      </c>
      <c r="AC28" s="294" t="e">
        <f t="shared" si="68"/>
        <v>#DIV/0!</v>
      </c>
      <c r="AD28" s="294" t="e">
        <f t="shared" si="68"/>
        <v>#DIV/0!</v>
      </c>
      <c r="AE28" s="160"/>
      <c r="AF28" s="294" t="e">
        <f t="shared" si="64"/>
        <v>#DIV/0!</v>
      </c>
      <c r="AG28" s="294" t="e">
        <f t="shared" ref="AG28:AJ28" si="69">AG27-AG22</f>
        <v>#DIV/0!</v>
      </c>
      <c r="AH28" s="294" t="e">
        <f t="shared" si="69"/>
        <v>#DIV/0!</v>
      </c>
      <c r="AI28" s="294" t="e">
        <f t="shared" si="69"/>
        <v>#DIV/0!</v>
      </c>
      <c r="AJ28" s="294" t="e">
        <f t="shared" si="69"/>
        <v>#DIV/0!</v>
      </c>
      <c r="AK28" s="160"/>
      <c r="AL28" s="119"/>
    </row>
    <row r="29" spans="1:39" ht="14" customHeight="1">
      <c r="A29" s="295" t="s">
        <v>36</v>
      </c>
      <c r="B29" s="293" t="e">
        <f>B27-B26</f>
        <v>#DIV/0!</v>
      </c>
      <c r="C29" s="293" t="e">
        <f t="shared" ref="C29:F29" si="70">C27-C26</f>
        <v>#DIV/0!</v>
      </c>
      <c r="D29" s="293" t="e">
        <f t="shared" si="70"/>
        <v>#DIV/0!</v>
      </c>
      <c r="E29" s="293" t="e">
        <f t="shared" si="70"/>
        <v>#DIV/0!</v>
      </c>
      <c r="F29" s="293" t="e">
        <f t="shared" si="70"/>
        <v>#DIV/0!</v>
      </c>
      <c r="G29" s="293"/>
      <c r="H29" s="293" t="e">
        <f t="shared" ref="H29:AF29" si="71">H27-H26</f>
        <v>#DIV/0!</v>
      </c>
      <c r="I29" s="293" t="e">
        <f t="shared" ref="I29:L29" si="72">I27-I26</f>
        <v>#DIV/0!</v>
      </c>
      <c r="J29" s="293" t="e">
        <f t="shared" si="72"/>
        <v>#DIV/0!</v>
      </c>
      <c r="K29" s="293" t="e">
        <f t="shared" si="72"/>
        <v>#DIV/0!</v>
      </c>
      <c r="L29" s="293" t="e">
        <f t="shared" si="72"/>
        <v>#DIV/0!</v>
      </c>
      <c r="M29" s="293"/>
      <c r="N29" s="293" t="e">
        <f t="shared" si="71"/>
        <v>#DIV/0!</v>
      </c>
      <c r="O29" s="293" t="e">
        <f t="shared" ref="O29:R29" si="73">O27-O26</f>
        <v>#DIV/0!</v>
      </c>
      <c r="P29" s="293" t="e">
        <f t="shared" si="73"/>
        <v>#DIV/0!</v>
      </c>
      <c r="Q29" s="293" t="e">
        <f t="shared" si="73"/>
        <v>#DIV/0!</v>
      </c>
      <c r="R29" s="293" t="e">
        <f t="shared" si="73"/>
        <v>#DIV/0!</v>
      </c>
      <c r="S29" s="293"/>
      <c r="T29" s="293" t="e">
        <f t="shared" si="71"/>
        <v>#DIV/0!</v>
      </c>
      <c r="U29" s="293" t="e">
        <f t="shared" ref="U29:X29" si="74">U27-U26</f>
        <v>#DIV/0!</v>
      </c>
      <c r="V29" s="293" t="e">
        <f t="shared" si="74"/>
        <v>#DIV/0!</v>
      </c>
      <c r="W29" s="293" t="e">
        <f t="shared" si="74"/>
        <v>#DIV/0!</v>
      </c>
      <c r="X29" s="293" t="e">
        <f t="shared" si="74"/>
        <v>#DIV/0!</v>
      </c>
      <c r="Y29" s="293"/>
      <c r="Z29" s="294" t="e">
        <f t="shared" si="71"/>
        <v>#DIV/0!</v>
      </c>
      <c r="AA29" s="294" t="e">
        <f t="shared" ref="AA29:AD29" si="75">AA27-AA26</f>
        <v>#DIV/0!</v>
      </c>
      <c r="AB29" s="294" t="e">
        <f t="shared" si="75"/>
        <v>#DIV/0!</v>
      </c>
      <c r="AC29" s="294" t="e">
        <f t="shared" si="75"/>
        <v>#DIV/0!</v>
      </c>
      <c r="AD29" s="294" t="e">
        <f t="shared" si="75"/>
        <v>#DIV/0!</v>
      </c>
      <c r="AE29" s="160"/>
      <c r="AF29" s="294" t="e">
        <f t="shared" si="71"/>
        <v>#DIV/0!</v>
      </c>
      <c r="AG29" s="294" t="e">
        <f t="shared" ref="AG29:AJ29" si="76">AG27-AG26</f>
        <v>#DIV/0!</v>
      </c>
      <c r="AH29" s="294" t="e">
        <f t="shared" si="76"/>
        <v>#DIV/0!</v>
      </c>
      <c r="AI29" s="294" t="e">
        <f t="shared" si="76"/>
        <v>#DIV/0!</v>
      </c>
      <c r="AJ29" s="294" t="e">
        <f t="shared" si="76"/>
        <v>#DIV/0!</v>
      </c>
      <c r="AK29" s="160"/>
      <c r="AL29" s="119"/>
    </row>
    <row r="30" spans="1:39" ht="14" customHeight="1">
      <c r="A30" s="295" t="s">
        <v>204</v>
      </c>
      <c r="B30" s="281" t="e">
        <f>(((B23+Inputs!$K$7)*(Inputs!$G$3))-B26)-(Inputs!$G$5+Inputs!$G$10)</f>
        <v>#DIV/0!</v>
      </c>
      <c r="C30" s="281" t="e">
        <f>(((C23+Inputs!$K$7)*(Inputs!$G$3))-C26)-(Inputs!$G$5+Inputs!$G$10)</f>
        <v>#DIV/0!</v>
      </c>
      <c r="D30" s="281" t="e">
        <f>(((D23+Inputs!$K$7)*(Inputs!$G$3))-D26)-(Inputs!$G$5+Inputs!$G$10)</f>
        <v>#DIV/0!</v>
      </c>
      <c r="E30" s="281" t="e">
        <f>(((E23+Inputs!$K$7)*(Inputs!$G$3))-E26)-(Inputs!$G$5+Inputs!$G$10)</f>
        <v>#DIV/0!</v>
      </c>
      <c r="F30" s="281" t="e">
        <f>(((F23+Inputs!$K$7)*(Inputs!$G$3))-F26)-(Inputs!$G$5+Inputs!$G$10)</f>
        <v>#DIV/0!</v>
      </c>
      <c r="G30" s="281"/>
      <c r="H30" s="281" t="e">
        <f>(((H23+Inputs!$K$7)*(Inputs!$G$3))-H26)-(Inputs!$G$5+Inputs!$G$10)</f>
        <v>#DIV/0!</v>
      </c>
      <c r="I30" s="281" t="e">
        <f>(((I23+Inputs!$K$7)*(Inputs!$G$3))-I26)-(Inputs!$G$5+Inputs!$G$10)</f>
        <v>#DIV/0!</v>
      </c>
      <c r="J30" s="281" t="e">
        <f>(((J23+Inputs!$K$7)*(Inputs!$G$3))-J26)-(Inputs!$G$5+Inputs!$G$10)</f>
        <v>#DIV/0!</v>
      </c>
      <c r="K30" s="281" t="e">
        <f>(((K23+Inputs!$K$7)*(Inputs!$G$3))-K26)-(Inputs!$G$5+Inputs!$G$10)</f>
        <v>#DIV/0!</v>
      </c>
      <c r="L30" s="281" t="e">
        <f>(((L23+Inputs!$K$7)*(Inputs!$G$3))-L26)-(Inputs!$G$5+Inputs!$G$10)</f>
        <v>#DIV/0!</v>
      </c>
      <c r="M30" s="281"/>
      <c r="N30" s="281" t="e">
        <f>(((N23+Inputs!$K$7)*(Inputs!$G$3))-N26)-(Inputs!$G$5+Inputs!$G$10)</f>
        <v>#DIV/0!</v>
      </c>
      <c r="O30" s="281" t="e">
        <f>(((O23+Inputs!$K$7)*(Inputs!$G$3))-O26)-(Inputs!$G$5+Inputs!$G$10)</f>
        <v>#DIV/0!</v>
      </c>
      <c r="P30" s="281" t="e">
        <f>(((P23+Inputs!$K$7)*(Inputs!$G$3))-P26)-(Inputs!$G$5+Inputs!$G$10)</f>
        <v>#DIV/0!</v>
      </c>
      <c r="Q30" s="281" t="e">
        <f>(((Q23+Inputs!$K$7)*(Inputs!$G$3))-Q26)-(Inputs!$G$5+Inputs!$G$10)</f>
        <v>#DIV/0!</v>
      </c>
      <c r="R30" s="281" t="e">
        <f>(((R23+Inputs!$K$7)*(Inputs!$G$3))-R26)-(Inputs!$G$5+Inputs!$G$10)</f>
        <v>#DIV/0!</v>
      </c>
      <c r="S30" s="281"/>
      <c r="T30" s="281" t="e">
        <f>(((T23+Inputs!$K$7)*(Inputs!$G$3))-T26)-(Inputs!$G$5+Inputs!$G$10)</f>
        <v>#DIV/0!</v>
      </c>
      <c r="U30" s="281" t="e">
        <f>(((U23+Inputs!$K$7)*(Inputs!$G$3))-U26)-(Inputs!$G$5+Inputs!$G$10)</f>
        <v>#DIV/0!</v>
      </c>
      <c r="V30" s="281" t="e">
        <f>(((V23+Inputs!$K$7)*(Inputs!$G$3))-V26)-(Inputs!$G$5+Inputs!$G$10)</f>
        <v>#DIV/0!</v>
      </c>
      <c r="W30" s="281" t="e">
        <f>(((W23+Inputs!$K$7)*(Inputs!$G$3))-W26)-(Inputs!$G$5+Inputs!$G$10)</f>
        <v>#DIV/0!</v>
      </c>
      <c r="X30" s="281" t="e">
        <f>(((X23+Inputs!$K$7)*(Inputs!$G$3))-X26)-(Inputs!$G$5+Inputs!$G$10)</f>
        <v>#DIV/0!</v>
      </c>
      <c r="Y30" s="281"/>
      <c r="Z30" s="281" t="e">
        <f>(((Z23+Inputs!$K$7)*(Inputs!$G$3))-Z26)-(Inputs!$G$5+Inputs!$G$10)</f>
        <v>#DIV/0!</v>
      </c>
      <c r="AA30" s="281" t="e">
        <f>(((AA23+Inputs!$K$7)*(Inputs!$G$3))-AA26)-(Inputs!$G$5+Inputs!$G$10)</f>
        <v>#DIV/0!</v>
      </c>
      <c r="AB30" s="281" t="e">
        <f>(((AB23+Inputs!$K$7)*(Inputs!$G$3))-AB26)-(Inputs!$G$5+Inputs!$G$10)</f>
        <v>#DIV/0!</v>
      </c>
      <c r="AC30" s="281" t="e">
        <f>(((AC23+Inputs!$K$7)*(Inputs!$G$3))-AC26)-(Inputs!$G$5+Inputs!$G$10)</f>
        <v>#DIV/0!</v>
      </c>
      <c r="AD30" s="281" t="e">
        <f>(((AD23+Inputs!$K$7)*(Inputs!$G$3))-AD26)-(Inputs!$G$5+Inputs!$G$10)</f>
        <v>#DIV/0!</v>
      </c>
      <c r="AE30" s="281"/>
      <c r="AF30" s="281" t="e">
        <f>(((AF23+Inputs!$K$7)*(Inputs!$G$3))-AF26)-(Inputs!$G$5+Inputs!$G$10)</f>
        <v>#DIV/0!</v>
      </c>
      <c r="AG30" s="281" t="e">
        <f>(((AG23+Inputs!$K$7)*(Inputs!$G$3))-AG26)-(Inputs!$G$5+Inputs!$G$10)</f>
        <v>#DIV/0!</v>
      </c>
      <c r="AH30" s="281" t="e">
        <f>(((AH23+Inputs!$K$7)*(Inputs!$G$3))-AH26)-(Inputs!$G$5+Inputs!$G$10)</f>
        <v>#DIV/0!</v>
      </c>
      <c r="AI30" s="281" t="e">
        <f>(((AI23+Inputs!$K$7)*(Inputs!$G$3))-AI26)-(Inputs!$G$5+Inputs!$G$10)</f>
        <v>#DIV/0!</v>
      </c>
      <c r="AJ30" s="281" t="e">
        <f>(((AJ23+Inputs!$K$7)*(Inputs!$G$3))-AJ26)-(Inputs!$G$5+Inputs!$G$10)</f>
        <v>#DIV/0!</v>
      </c>
      <c r="AK30" s="149"/>
      <c r="AL30" s="119"/>
    </row>
    <row r="31" spans="1:39" ht="14" customHeight="1">
      <c r="A31" s="295" t="s">
        <v>205</v>
      </c>
      <c r="B31" s="283" t="e">
        <f>(((B23+Inputs!$K$7)*(IF(Inputs!$N$3=4,HLOOKUP(MAX($T$46:$X$46),$T$46:$X$47,2,FALSE),IF(Inputs!$N$3=5,HLOOKUP(MAX($Z$46:$AD$46),$Z$46:$AD$47,2,FALSE),IF(Inputs!$N$3=6,HLOOKUP(MAX($AF$46:$AJ$46),$AF$46:$AJ$47,2,FALSE),""))))/100)*(Inputs!$G$4)-B26)-(Inputs!$G$5+Inputs!$G$10)</f>
        <v>#DIV/0!</v>
      </c>
      <c r="C31" s="283" t="e">
        <f>(((C23+Inputs!$K$7)*(IF(Inputs!$N$3=4,HLOOKUP(MAX($T$46:$X$46),$T$46:$X$47,2,FALSE),IF(Inputs!$N$3=5,HLOOKUP(MAX($Z$46:$AD$46),$Z$46:$AD$47,2,FALSE),IF(Inputs!$N$3=6,HLOOKUP(MAX($AF$46:$AJ$46),$AF$46:$AJ$47,2,FALSE),""))))/100)*(Inputs!$G$4)-C26)-(Inputs!$G$5+Inputs!$G$10)</f>
        <v>#DIV/0!</v>
      </c>
      <c r="D31" s="283" t="e">
        <f>(((D23+Inputs!$K$7)*(IF(Inputs!$N$3=4,HLOOKUP(MAX($T$46:$X$46),$T$46:$X$47,2,FALSE),IF(Inputs!$N$3=5,HLOOKUP(MAX($Z$46:$AD$46),$Z$46:$AD$47,2,FALSE),IF(Inputs!$N$3=6,HLOOKUP(MAX($AF$46:$AJ$46),$AF$46:$AJ$47,2,FALSE),""))))/100)*(Inputs!$G$4)-D26)-(Inputs!$G$5+Inputs!$G$10)</f>
        <v>#DIV/0!</v>
      </c>
      <c r="E31" s="283" t="e">
        <f>(((E23+Inputs!$K$7)*(IF(Inputs!$N$3=4,HLOOKUP(MAX($T$46:$X$46),$T$46:$X$47,2,FALSE),IF(Inputs!$N$3=5,HLOOKUP(MAX($Z$46:$AD$46),$Z$46:$AD$47,2,FALSE),IF(Inputs!$N$3=6,HLOOKUP(MAX($AF$46:$AJ$46),$AF$46:$AJ$47,2,FALSE),""))))/100)*(Inputs!$G$4)-E26)-(Inputs!$G$5+Inputs!$G$10)</f>
        <v>#DIV/0!</v>
      </c>
      <c r="F31" s="283" t="e">
        <f>(((F23+Inputs!$K$7)*(IF(Inputs!$N$3=4,HLOOKUP(MAX($T$46:$X$46),$T$46:$X$47,2,FALSE),IF(Inputs!$N$3=5,HLOOKUP(MAX($Z$46:$AD$46),$Z$46:$AD$47,2,FALSE),IF(Inputs!$N$3=6,HLOOKUP(MAX($AF$46:$AJ$46),$AF$46:$AJ$47,2,FALSE),""))))/100)*(Inputs!$G$4)-F26)-(Inputs!$G$5+Inputs!$G$10)</f>
        <v>#DIV/0!</v>
      </c>
      <c r="G31" s="283"/>
      <c r="H31" s="283" t="e">
        <f>(((H23+Inputs!$K$7)*(IF(Inputs!$N$3=4,HLOOKUP(MAX($T$46:$X$46),$T$46:$X$47,2,FALSE),IF(Inputs!$N$3=5,HLOOKUP(MAX($Z$46:$AD$46),$Z$46:$AD$47,2,FALSE),IF(Inputs!$N$3=6,HLOOKUP(MAX($AF$46:$AJ$46),$AF$46:$AJ$47,2,FALSE),""))))/100)*(Inputs!$G$4)-H26)-(Inputs!$G$5+Inputs!$G$10)</f>
        <v>#DIV/0!</v>
      </c>
      <c r="I31" s="283" t="e">
        <f>(((I23+Inputs!$K$7)*(IF(Inputs!$N$3=4,HLOOKUP(MAX($T$46:$X$46),$T$46:$X$47,2,FALSE),IF(Inputs!$N$3=5,HLOOKUP(MAX($Z$46:$AD$46),$Z$46:$AD$47,2,FALSE),IF(Inputs!$N$3=6,HLOOKUP(MAX($AF$46:$AJ$46),$AF$46:$AJ$47,2,FALSE),""))))/100)*(Inputs!$G$4)-I26)-(Inputs!$G$5+Inputs!$G$10)</f>
        <v>#DIV/0!</v>
      </c>
      <c r="J31" s="283" t="e">
        <f>(((J23+Inputs!$K$7)*(IF(Inputs!$N$3=4,HLOOKUP(MAX($T$46:$X$46),$T$46:$X$47,2,FALSE),IF(Inputs!$N$3=5,HLOOKUP(MAX($Z$46:$AD$46),$Z$46:$AD$47,2,FALSE),IF(Inputs!$N$3=6,HLOOKUP(MAX($AF$46:$AJ$46),$AF$46:$AJ$47,2,FALSE),""))))/100)*(Inputs!$G$4)-J26)-(Inputs!$G$5+Inputs!$G$10)</f>
        <v>#DIV/0!</v>
      </c>
      <c r="K31" s="283" t="e">
        <f>(((K23+Inputs!$K$7)*(IF(Inputs!$N$3=4,HLOOKUP(MAX($T$46:$X$46),$T$46:$X$47,2,FALSE),IF(Inputs!$N$3=5,HLOOKUP(MAX($Z$46:$AD$46),$Z$46:$AD$47,2,FALSE),IF(Inputs!$N$3=6,HLOOKUP(MAX($AF$46:$AJ$46),$AF$46:$AJ$47,2,FALSE),""))))/100)*(Inputs!$G$4)-K26)-(Inputs!$G$5+Inputs!$G$10)</f>
        <v>#DIV/0!</v>
      </c>
      <c r="L31" s="283" t="e">
        <f>(((L23+Inputs!$K$7)*(IF(Inputs!$N$3=4,HLOOKUP(MAX($T$46:$X$46),$T$46:$X$47,2,FALSE),IF(Inputs!$N$3=5,HLOOKUP(MAX($Z$46:$AD$46),$Z$46:$AD$47,2,FALSE),IF(Inputs!$N$3=6,HLOOKUP(MAX($AF$46:$AJ$46),$AF$46:$AJ$47,2,FALSE),""))))/100)*(Inputs!$G$4)-L26)-(Inputs!$G$5+Inputs!$G$10)</f>
        <v>#DIV/0!</v>
      </c>
      <c r="M31" s="283"/>
      <c r="N31" s="283" t="e">
        <f>(((N23+Inputs!$K$7)*(IF(Inputs!$N$3=4,HLOOKUP(MAX($T$46:$X$46),$T$46:$X$47,2,FALSE),IF(Inputs!$N$3=5,HLOOKUP(MAX($Z$46:$AD$46),$Z$46:$AD$47,2,FALSE),IF(Inputs!$N$3=6,HLOOKUP(MAX($AF$46:$AJ$46),$AF$46:$AJ$47,2,FALSE),""))))/100)*(Inputs!$G$4)-N26)-(Inputs!$G$5+Inputs!$G$10)</f>
        <v>#DIV/0!</v>
      </c>
      <c r="O31" s="283" t="e">
        <f>(((O23+Inputs!$K$7)*(IF(Inputs!$N$3=4,HLOOKUP(MAX($T$46:$X$46),$T$46:$X$47,2,FALSE),IF(Inputs!$N$3=5,HLOOKUP(MAX($Z$46:$AD$46),$Z$46:$AD$47,2,FALSE),IF(Inputs!$N$3=6,HLOOKUP(MAX($AF$46:$AJ$46),$AF$46:$AJ$47,2,FALSE),""))))/100)*(Inputs!$G$4)-O26)-(Inputs!$G$5+Inputs!$G$10)</f>
        <v>#DIV/0!</v>
      </c>
      <c r="P31" s="283" t="e">
        <f>(((P23+Inputs!$K$7)*(IF(Inputs!$N$3=4,HLOOKUP(MAX($T$46:$X$46),$T$46:$X$47,2,FALSE),IF(Inputs!$N$3=5,HLOOKUP(MAX($Z$46:$AD$46),$Z$46:$AD$47,2,FALSE),IF(Inputs!$N$3=6,HLOOKUP(MAX($AF$46:$AJ$46),$AF$46:$AJ$47,2,FALSE),""))))/100)*(Inputs!$G$4)-P26)-(Inputs!$G$5+Inputs!$G$10)</f>
        <v>#DIV/0!</v>
      </c>
      <c r="Q31" s="283" t="e">
        <f>(((Q23+Inputs!$K$7)*(IF(Inputs!$N$3=4,HLOOKUP(MAX($T$46:$X$46),$T$46:$X$47,2,FALSE),IF(Inputs!$N$3=5,HLOOKUP(MAX($Z$46:$AD$46),$Z$46:$AD$47,2,FALSE),IF(Inputs!$N$3=6,HLOOKUP(MAX($AF$46:$AJ$46),$AF$46:$AJ$47,2,FALSE),""))))/100)*(Inputs!$G$4)-Q26)-(Inputs!$G$5+Inputs!$G$10)</f>
        <v>#DIV/0!</v>
      </c>
      <c r="R31" s="283" t="e">
        <f>(((R23+Inputs!$K$7)*(IF(Inputs!$N$3=4,HLOOKUP(MAX($T$46:$X$46),$T$46:$X$47,2,FALSE),IF(Inputs!$N$3=5,HLOOKUP(MAX($Z$46:$AD$46),$Z$46:$AD$47,2,FALSE),IF(Inputs!$N$3=6,HLOOKUP(MAX($AF$46:$AJ$46),$AF$46:$AJ$47,2,FALSE),""))))/100)*(Inputs!$G$4)-R26)-(Inputs!$G$5+Inputs!$G$10)</f>
        <v>#DIV/0!</v>
      </c>
      <c r="S31" s="283"/>
      <c r="T31" s="283" t="e">
        <f>(((T23+Inputs!$K$7)*(T38)/100)*(Inputs!$G$4)-T26)-(Inputs!$G$5+Inputs!$G$10)</f>
        <v>#DIV/0!</v>
      </c>
      <c r="U31" s="283" t="e">
        <f>(((U23+Inputs!$K$7)*(U38)/100)*(Inputs!$G$4)-U26)-(Inputs!$G$5+Inputs!$G$10)</f>
        <v>#DIV/0!</v>
      </c>
      <c r="V31" s="283" t="e">
        <f>(((V23+Inputs!$K$7)*(V38)/100)*(Inputs!$G$4)-V26)-(Inputs!$G$5+Inputs!$G$10)</f>
        <v>#DIV/0!</v>
      </c>
      <c r="W31" s="283" t="e">
        <f>(((W23+Inputs!$K$7)*(W38)/100)*(Inputs!$G$4)-W26)-(Inputs!$G$5+Inputs!$G$10)</f>
        <v>#DIV/0!</v>
      </c>
      <c r="X31" s="283" t="e">
        <f>(((X23+Inputs!$K$7)*(X38)/100)*(Inputs!$G$4)-X26)-(Inputs!$G$5+Inputs!$G$10)</f>
        <v>#DIV/0!</v>
      </c>
      <c r="Y31" s="283"/>
      <c r="Z31" s="283" t="e">
        <f>(((Z23+Inputs!$K$7)*(Z38)/100)*(Inputs!$G$4)-Z26)-(Inputs!$G$5+Inputs!$G$10)</f>
        <v>#DIV/0!</v>
      </c>
      <c r="AA31" s="283" t="e">
        <f>(((AA23+Inputs!$K$7)*(AA38)/100)*(Inputs!$G$4)-AA26)-(Inputs!$G$5+Inputs!$G$10)</f>
        <v>#DIV/0!</v>
      </c>
      <c r="AB31" s="283" t="e">
        <f>(((AB23+Inputs!$K$7)*(AB38)/100)*(Inputs!$G$4)-AB26)-(Inputs!$G$5+Inputs!$G$10)</f>
        <v>#DIV/0!</v>
      </c>
      <c r="AC31" s="283" t="e">
        <f>(((AC23+Inputs!$K$7)*(AC38)/100)*(Inputs!$G$4)-AC26)-(Inputs!$G$5+Inputs!$G$10)</f>
        <v>#DIV/0!</v>
      </c>
      <c r="AD31" s="283" t="e">
        <f>(((AD23+Inputs!$K$7)*(AD38)/100)*(Inputs!$G$4)-AD26)-(Inputs!$G$5+Inputs!$G$10)</f>
        <v>#DIV/0!</v>
      </c>
      <c r="AE31" s="283"/>
      <c r="AF31" s="283" t="e">
        <f>(((AF23+Inputs!$K$7)*(AF38)/100)*(Inputs!$G$4)-AF26)-(Inputs!$G$5+Inputs!$G$10)</f>
        <v>#DIV/0!</v>
      </c>
      <c r="AG31" s="283" t="e">
        <f>(((AG23+Inputs!$K$7)*(AG38)/100)*(Inputs!$G$4)-AG26)-(Inputs!$G$5+Inputs!$G$10)</f>
        <v>#DIV/0!</v>
      </c>
      <c r="AH31" s="283" t="e">
        <f>(((AH23+Inputs!$K$7)*(AH38)/100)*(Inputs!$G$4)-AH26)-(Inputs!$G$5+Inputs!$G$10)</f>
        <v>#DIV/0!</v>
      </c>
      <c r="AI31" s="283" t="e">
        <f>(((AI23+Inputs!$K$7)*(AI38)/100)*(Inputs!$G$4)-AI26)-(Inputs!$G$5+Inputs!$G$10)</f>
        <v>#DIV/0!</v>
      </c>
      <c r="AJ31" s="283" t="e">
        <f>(((AJ23+Inputs!$K$7)*(AJ38)/100)*(Inputs!$G$4)-AJ26)-(Inputs!$G$5+Inputs!$G$10)</f>
        <v>#DIV/0!</v>
      </c>
      <c r="AK31" s="204"/>
      <c r="AL31" s="119"/>
    </row>
    <row r="32" spans="1:39" ht="14" customHeight="1">
      <c r="A32" s="295" t="s">
        <v>102</v>
      </c>
      <c r="B32" s="281"/>
      <c r="C32" s="281"/>
      <c r="D32" s="281"/>
      <c r="E32" s="281"/>
      <c r="F32" s="281"/>
      <c r="G32" s="281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81"/>
      <c r="T32" s="281">
        <f>Inputs!$G$9</f>
        <v>0</v>
      </c>
      <c r="U32" s="281">
        <f>Inputs!$G$9</f>
        <v>0</v>
      </c>
      <c r="V32" s="281">
        <f>Inputs!$G$9</f>
        <v>0</v>
      </c>
      <c r="W32" s="281">
        <f>Inputs!$G$9</f>
        <v>0</v>
      </c>
      <c r="X32" s="281">
        <f>Inputs!$G$9</f>
        <v>0</v>
      </c>
      <c r="Y32" s="281"/>
      <c r="Z32" s="281">
        <f>Inputs!$G$9</f>
        <v>0</v>
      </c>
      <c r="AA32" s="281">
        <f>Inputs!$G$9</f>
        <v>0</v>
      </c>
      <c r="AB32" s="281">
        <f>Inputs!$G$9</f>
        <v>0</v>
      </c>
      <c r="AC32" s="281">
        <f>Inputs!$G$9</f>
        <v>0</v>
      </c>
      <c r="AD32" s="281">
        <f>Inputs!$G$9</f>
        <v>0</v>
      </c>
      <c r="AE32" s="281"/>
      <c r="AF32" s="281">
        <f>Inputs!$G$9</f>
        <v>0</v>
      </c>
      <c r="AG32" s="281">
        <f>Inputs!$G$9</f>
        <v>0</v>
      </c>
      <c r="AH32" s="281">
        <f>Inputs!$G$9</f>
        <v>0</v>
      </c>
      <c r="AI32" s="281">
        <f>Inputs!$G$9</f>
        <v>0</v>
      </c>
      <c r="AJ32" s="281">
        <f>Inputs!$G$9</f>
        <v>0</v>
      </c>
      <c r="AK32" s="171"/>
      <c r="AL32" s="119"/>
    </row>
    <row r="33" spans="1:38" ht="14" customHeight="1">
      <c r="A33" s="295" t="s">
        <v>103</v>
      </c>
      <c r="B33" s="281"/>
      <c r="C33" s="281"/>
      <c r="D33" s="281"/>
      <c r="E33" s="281"/>
      <c r="F33" s="281"/>
      <c r="G33" s="281"/>
      <c r="H33" s="281"/>
      <c r="I33" s="281"/>
      <c r="J33" s="281"/>
      <c r="K33" s="281"/>
      <c r="L33" s="281"/>
      <c r="M33" s="281"/>
      <c r="N33" s="283">
        <f>VLOOKUP(Inputs!$M$9,Inputs!$J$32:$L$36,3,FALSE)</f>
        <v>0</v>
      </c>
      <c r="O33" s="283">
        <f>VLOOKUP(Inputs!$M$9,Inputs!$J$32:$L$36,3,FALSE)</f>
        <v>0</v>
      </c>
      <c r="P33" s="283">
        <f>VLOOKUP(Inputs!$M$9,Inputs!$J$32:$L$36,3,FALSE)</f>
        <v>0</v>
      </c>
      <c r="Q33" s="283">
        <f>VLOOKUP(Inputs!$M$9,Inputs!$J$32:$L$36,3,FALSE)</f>
        <v>0</v>
      </c>
      <c r="R33" s="283">
        <f>VLOOKUP(Inputs!$M$9,Inputs!$J$32:$L$36,3,FALSE)</f>
        <v>0</v>
      </c>
      <c r="S33" s="283"/>
      <c r="T33" s="283">
        <f>VLOOKUP(Inputs!$M$10,Inputs!$J$37:$L$41,3,FALSE)</f>
        <v>0</v>
      </c>
      <c r="U33" s="283">
        <f>VLOOKUP(Inputs!$M$10,Inputs!$J$37:$L$41,3,FALSE)</f>
        <v>0</v>
      </c>
      <c r="V33" s="283">
        <f>VLOOKUP(Inputs!$M$10,Inputs!$J$37:$L$41,3,FALSE)</f>
        <v>0</v>
      </c>
      <c r="W33" s="283">
        <f>VLOOKUP(Inputs!$M$10,Inputs!$J$37:$L$41,3,FALSE)</f>
        <v>0</v>
      </c>
      <c r="X33" s="283">
        <f>VLOOKUP(Inputs!$M$10,Inputs!$J$37:$L$41,3,FALSE)</f>
        <v>0</v>
      </c>
      <c r="Y33" s="283"/>
      <c r="Z33" s="283">
        <f>VLOOKUP(Inputs!$M$11,Inputs!$J$42:$L$46,3,FALSE)</f>
        <v>0</v>
      </c>
      <c r="AA33" s="283">
        <f>VLOOKUP(Inputs!$M$11,Inputs!$J$42:$L$46,3,FALSE)</f>
        <v>0</v>
      </c>
      <c r="AB33" s="283">
        <f>VLOOKUP(Inputs!$M$11,Inputs!$J$42:$L$46,3,FALSE)</f>
        <v>0</v>
      </c>
      <c r="AC33" s="283">
        <f>VLOOKUP(Inputs!$M$11,Inputs!$J$42:$L$46,3,FALSE)</f>
        <v>0</v>
      </c>
      <c r="AD33" s="283">
        <f>VLOOKUP(Inputs!$M$11,Inputs!$J$42:$L$46,3,FALSE)</f>
        <v>0</v>
      </c>
      <c r="AE33" s="283"/>
      <c r="AF33" s="283">
        <f>VLOOKUP(Inputs!$M$12,Inputs!$J$47:$L$51,3,FALSE)</f>
        <v>0</v>
      </c>
      <c r="AG33" s="283">
        <f>VLOOKUP(Inputs!$M$12,Inputs!$J$47:$L$51,3,FALSE)</f>
        <v>0</v>
      </c>
      <c r="AH33" s="283">
        <f>VLOOKUP(Inputs!$M$12,Inputs!$J$47:$L$51,3,FALSE)</f>
        <v>0</v>
      </c>
      <c r="AI33" s="283">
        <f>VLOOKUP(Inputs!$M$12,Inputs!$J$47:$L$51,3,FALSE)</f>
        <v>0</v>
      </c>
      <c r="AJ33" s="283">
        <f>VLOOKUP(Inputs!$M$12,Inputs!$J$47:$L$51,3,FALSE)</f>
        <v>0</v>
      </c>
      <c r="AK33" s="245"/>
      <c r="AL33" s="119"/>
    </row>
    <row r="34" spans="1:38" ht="14" customHeight="1">
      <c r="A34" s="295" t="s">
        <v>99</v>
      </c>
      <c r="B34" s="281"/>
      <c r="C34" s="281"/>
      <c r="D34" s="281"/>
      <c r="E34" s="281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/>
      <c r="T34" s="281" t="e">
        <f>(T21*0.03492)+(N33*-0.05092)+(T33*-0.06897)+((T33*T21)*-0.00289)+76.0769</f>
        <v>#DIV/0!</v>
      </c>
      <c r="U34" s="281" t="e">
        <f t="shared" ref="U34:X34" si="77">(U21*0.03492)+(O33*-0.05092)+(U33*-0.06897)+((U33*U21)*-0.00289)+76.0769</f>
        <v>#DIV/0!</v>
      </c>
      <c r="V34" s="281" t="e">
        <f t="shared" si="77"/>
        <v>#DIV/0!</v>
      </c>
      <c r="W34" s="281" t="e">
        <f t="shared" si="77"/>
        <v>#DIV/0!</v>
      </c>
      <c r="X34" s="281" t="e">
        <f t="shared" si="77"/>
        <v>#DIV/0!</v>
      </c>
      <c r="Y34" s="281"/>
      <c r="Z34" s="281" t="e">
        <f>(Z21*0.03492)+(T33*-0.05092)+(Z33*-0.06897)+((Z33*Z21)*-0.00289)+76.0769</f>
        <v>#DIV/0!</v>
      </c>
      <c r="AA34" s="281" t="e">
        <f>(AA21*0.03492)+(U33*-0.05092)+(AA33*-0.06897)+((AA33*AA21)*-0.00289)+76.0769</f>
        <v>#DIV/0!</v>
      </c>
      <c r="AB34" s="281" t="e">
        <f>(AB21*0.03492)+(V33*-0.05092)+(AB33*-0.06897)+((AB33*AB21)*-0.00289)+76.0769</f>
        <v>#DIV/0!</v>
      </c>
      <c r="AC34" s="281" t="e">
        <f>(AC21*0.03492)+(W33*-0.05092)+(AC33*-0.06897)+((AC33*AC21)*-0.00289)+76.0769</f>
        <v>#DIV/0!</v>
      </c>
      <c r="AD34" s="281" t="e">
        <f>(AD21*0.03492)+(X33*-0.05092)+(AD33*-0.06897)+((AD33*AD21)*-0.00289)+76.0769</f>
        <v>#DIV/0!</v>
      </c>
      <c r="AE34" s="281"/>
      <c r="AF34" s="281" t="e">
        <f>(AF21*0.03492)+(Z33*-0.05092)+(AF33*-0.06897)+((AF33*AF21)*-0.00289)+76.0769</f>
        <v>#DIV/0!</v>
      </c>
      <c r="AG34" s="281" t="e">
        <f>(AG21*0.03492)+(AA33*-0.05092)+(AG33*-0.06897)+((AG33*AG21)*-0.00289)+76.0769</f>
        <v>#DIV/0!</v>
      </c>
      <c r="AH34" s="281" t="e">
        <f>(AH21*0.03492)+(AB33*-0.05092)+(AH33*-0.06897)+((AH33*AH21)*-0.00289)+76.0769</f>
        <v>#DIV/0!</v>
      </c>
      <c r="AI34" s="281" t="e">
        <f>(AI21*0.03492)+(AC33*-0.05092)+(AI33*-0.06897)+((AI33*AI21)*-0.00289)+76.0769</f>
        <v>#DIV/0!</v>
      </c>
      <c r="AJ34" s="281" t="e">
        <f>(AJ21*0.03492)+(AD33*-0.05092)+(AJ33*-0.06897)+((AJ33*AJ21)*-0.00289)+76.0769</f>
        <v>#DIV/0!</v>
      </c>
      <c r="AK34" s="171"/>
      <c r="AL34" s="119"/>
    </row>
    <row r="35" spans="1:38" ht="14" customHeight="1">
      <c r="A35" s="295" t="s">
        <v>104</v>
      </c>
      <c r="B35" s="281"/>
      <c r="C35" s="281"/>
      <c r="D35" s="281"/>
      <c r="E35" s="281"/>
      <c r="F35" s="281"/>
      <c r="G35" s="281"/>
      <c r="H35" s="281"/>
      <c r="I35" s="281"/>
      <c r="J35" s="281"/>
      <c r="K35" s="281"/>
      <c r="L35" s="281"/>
      <c r="M35" s="281"/>
      <c r="N35" s="281"/>
      <c r="O35" s="281"/>
      <c r="P35" s="281"/>
      <c r="Q35" s="281"/>
      <c r="R35" s="281"/>
      <c r="S35" s="281"/>
      <c r="T35" s="281" t="e">
        <f>T32-T34</f>
        <v>#DIV/0!</v>
      </c>
      <c r="U35" s="281" t="e">
        <f t="shared" ref="U35:X35" si="78">U32-U34</f>
        <v>#DIV/0!</v>
      </c>
      <c r="V35" s="281" t="e">
        <f t="shared" si="78"/>
        <v>#DIV/0!</v>
      </c>
      <c r="W35" s="281" t="e">
        <f t="shared" si="78"/>
        <v>#DIV/0!</v>
      </c>
      <c r="X35" s="281" t="e">
        <f t="shared" si="78"/>
        <v>#DIV/0!</v>
      </c>
      <c r="Y35" s="281"/>
      <c r="Z35" s="281" t="e">
        <f>Z32-Z34</f>
        <v>#DIV/0!</v>
      </c>
      <c r="AA35" s="281" t="e">
        <f t="shared" ref="AA35:AD35" si="79">AA32-AA34</f>
        <v>#DIV/0!</v>
      </c>
      <c r="AB35" s="281" t="e">
        <f t="shared" si="79"/>
        <v>#DIV/0!</v>
      </c>
      <c r="AC35" s="281" t="e">
        <f t="shared" si="79"/>
        <v>#DIV/0!</v>
      </c>
      <c r="AD35" s="281" t="e">
        <f t="shared" si="79"/>
        <v>#DIV/0!</v>
      </c>
      <c r="AE35" s="281"/>
      <c r="AF35" s="281" t="e">
        <f>AF32-AF34</f>
        <v>#DIV/0!</v>
      </c>
      <c r="AG35" s="281" t="e">
        <f t="shared" ref="AG35:AJ35" si="80">AG32-AG34</f>
        <v>#DIV/0!</v>
      </c>
      <c r="AH35" s="281" t="e">
        <f t="shared" si="80"/>
        <v>#DIV/0!</v>
      </c>
      <c r="AI35" s="281" t="e">
        <f t="shared" si="80"/>
        <v>#DIV/0!</v>
      </c>
      <c r="AJ35" s="281" t="e">
        <f t="shared" si="80"/>
        <v>#DIV/0!</v>
      </c>
      <c r="AK35" s="171"/>
      <c r="AL35" s="119"/>
    </row>
    <row r="36" spans="1:38" ht="14" customHeight="1">
      <c r="A36" s="295" t="s">
        <v>105</v>
      </c>
      <c r="B36" s="281"/>
      <c r="C36" s="281"/>
      <c r="D36" s="281"/>
      <c r="E36" s="281"/>
      <c r="F36" s="281"/>
      <c r="G36" s="281"/>
      <c r="H36" s="281"/>
      <c r="I36" s="281"/>
      <c r="J36" s="281"/>
      <c r="K36" s="281"/>
      <c r="L36" s="281"/>
      <c r="M36" s="281"/>
      <c r="N36" s="281">
        <f>N8</f>
        <v>0</v>
      </c>
      <c r="O36" s="281">
        <f t="shared" ref="O36:R36" si="81">O8</f>
        <v>0</v>
      </c>
      <c r="P36" s="281">
        <f t="shared" si="81"/>
        <v>0</v>
      </c>
      <c r="Q36" s="281">
        <f t="shared" si="81"/>
        <v>0</v>
      </c>
      <c r="R36" s="281">
        <f t="shared" si="81"/>
        <v>0</v>
      </c>
      <c r="S36" s="281"/>
      <c r="T36" s="281">
        <f>T8</f>
        <v>0</v>
      </c>
      <c r="U36" s="281">
        <f t="shared" ref="U36:X36" si="82">U8</f>
        <v>0</v>
      </c>
      <c r="V36" s="281">
        <f t="shared" si="82"/>
        <v>0</v>
      </c>
      <c r="W36" s="281">
        <f t="shared" si="82"/>
        <v>0</v>
      </c>
      <c r="X36" s="281">
        <f t="shared" si="82"/>
        <v>0</v>
      </c>
      <c r="Y36" s="281"/>
      <c r="Z36" s="281">
        <f>Z8</f>
        <v>0</v>
      </c>
      <c r="AA36" s="281">
        <f>AA8</f>
        <v>0</v>
      </c>
      <c r="AB36" s="281">
        <f t="shared" ref="AB36:AC36" si="83">AB8</f>
        <v>0</v>
      </c>
      <c r="AC36" s="281">
        <f t="shared" si="83"/>
        <v>0</v>
      </c>
      <c r="AD36" s="281">
        <f>AD8</f>
        <v>0</v>
      </c>
      <c r="AE36" s="281"/>
      <c r="AF36" s="281">
        <f>AF8</f>
        <v>0</v>
      </c>
      <c r="AG36" s="281">
        <f>AG8</f>
        <v>0</v>
      </c>
      <c r="AH36" s="281">
        <f>AH8</f>
        <v>0</v>
      </c>
      <c r="AI36" s="281">
        <f t="shared" ref="AI36:AJ36" si="84">AI8</f>
        <v>0</v>
      </c>
      <c r="AJ36" s="281">
        <f t="shared" si="84"/>
        <v>0</v>
      </c>
      <c r="AK36" s="171"/>
      <c r="AL36" s="119"/>
    </row>
    <row r="37" spans="1:38" ht="14" customHeight="1">
      <c r="A37" s="295" t="s">
        <v>106</v>
      </c>
      <c r="B37" s="281"/>
      <c r="C37" s="281"/>
      <c r="D37" s="281"/>
      <c r="E37" s="281"/>
      <c r="F37" s="281"/>
      <c r="G37" s="281"/>
      <c r="H37" s="281"/>
      <c r="I37" s="281"/>
      <c r="J37" s="281"/>
      <c r="K37" s="281"/>
      <c r="L37" s="281"/>
      <c r="M37" s="281"/>
      <c r="N37" s="281"/>
      <c r="O37" s="281"/>
      <c r="P37" s="281"/>
      <c r="Q37" s="281"/>
      <c r="R37" s="281"/>
      <c r="S37" s="281"/>
      <c r="T37" s="281" t="e">
        <f>(T21*0.03492)+((HLOOKUP(MAX($N$41:$R$41),$N$41:$R$43,3,FALSE))*-0.05092)+(T36*-0.06897)+((T36*T21)*-0.00289)+76.0769</f>
        <v>#DIV/0!</v>
      </c>
      <c r="U37" s="281" t="e">
        <f>(U21*0.03492)+((HLOOKUP(MAX($N$41:$R$41),$N$41:$R$43,3,FALSE))*-0.05092)+(U36*-0.06897)+((U36*U21)*-0.00289)+76.0769</f>
        <v>#DIV/0!</v>
      </c>
      <c r="V37" s="281" t="e">
        <f>(V21*0.03492)+((HLOOKUP(MAX($N$41:$R$41),$N$41:$R$43,3,FALSE))*-0.05092)+(V36*-0.06897)+((V36*V21)*-0.00289)+76.0769</f>
        <v>#DIV/0!</v>
      </c>
      <c r="W37" s="281" t="e">
        <f>(W21*0.03492)+((HLOOKUP(MAX($N$41:$R$41),$N$41:$R$43,3,FALSE))*-0.05092)+(W36*-0.06897)+((W36*W21)*-0.00289)+76.0769</f>
        <v>#DIV/0!</v>
      </c>
      <c r="X37" s="281" t="e">
        <f>(X21*0.03492)+((HLOOKUP(MAX($N$41:$R$41),$N$41:$R$43,3,FALSE))*-0.05092)+(X36*-0.06897)+((X36*X21)*-0.00289)+76.0769</f>
        <v>#DIV/0!</v>
      </c>
      <c r="Y37" s="281"/>
      <c r="Z37" s="281" t="e">
        <f>(Z21*0.03492)+((HLOOKUP(MAX($T$40:$X$40),$T$40:$X$43,4,FALSE)*-0.05092)+(Z36*-0.06897)+((Z36*Z21)*-0.00289)+76.0769)</f>
        <v>#DIV/0!</v>
      </c>
      <c r="AA37" s="281" t="e">
        <f>(AA21*0.03492)+((HLOOKUP(MAX($T$40:$X$40),$T$40:$X$43,4,FALSE)*-0.05092)+(AA36*-0.06897)+((AA36*AA21)*-0.00289)+76.0769)</f>
        <v>#DIV/0!</v>
      </c>
      <c r="AB37" s="281" t="e">
        <f>(AB21*0.03492)+((HLOOKUP(MAX($T$40:$X$40),$T$40:$X$43,4,FALSE)*-0.05092)+(AB36*-0.06897)+((AB36*AB21)*-0.00289)+76.0769)</f>
        <v>#DIV/0!</v>
      </c>
      <c r="AC37" s="281" t="e">
        <f>(AC21*0.03492)+((HLOOKUP(MAX($T$40:$X$40),$T$40:$X$43,4,FALSE)*-0.05092)+(AC36*-0.06897)+((AC36*AC21)*-0.00289)+76.0769)</f>
        <v>#DIV/0!</v>
      </c>
      <c r="AD37" s="281" t="e">
        <f>(AD21*0.03492)+((HLOOKUP(MAX($T$40:$X$40),$T$40:$X$43,4,FALSE)*-0.05092)+(AD36*-0.06897)+((AD36*AD21)*-0.00289)+76.0769)</f>
        <v>#DIV/0!</v>
      </c>
      <c r="AE37" s="281"/>
      <c r="AF37" s="281" t="e">
        <f>(AF21*0.03492)+((HLOOKUP(MAX($Z$40:$AD$40),$Z$40:$AD$43,4,FALSE)*-0.05092)+(AF36*-0.06897)+((AF36*AF21)*-0.00289)+76.0769)</f>
        <v>#DIV/0!</v>
      </c>
      <c r="AG37" s="281" t="e">
        <f>(AG21*0.03492)+((HLOOKUP(MAX($Z$40:$AD$40),$Z$40:$AD$43,4,FALSE)*-0.05092)+(AG36*-0.06897)+((AG36*AG21)*-0.00289)+76.0769)</f>
        <v>#DIV/0!</v>
      </c>
      <c r="AH37" s="281" t="e">
        <f>(AH21*0.03492)+((HLOOKUP(MAX($Z$40:$AD$40),$Z$40:$AD$43,4,FALSE)*-0.05092)+(AH36*-0.06897)+((AH36*AH21)*-0.00289)+76.0769)</f>
        <v>#DIV/0!</v>
      </c>
      <c r="AI37" s="281" t="e">
        <f>(AI21*0.03492)+((HLOOKUP(MAX($Z$40:$AD$40),$Z$40:$AD$43,4,FALSE)*-0.05092)+(AI36*-0.06897)+((AI36*AI21)*-0.00289)+76.0769)</f>
        <v>#DIV/0!</v>
      </c>
      <c r="AJ37" s="281" t="e">
        <f>(AJ21*0.03492)+((HLOOKUP(MAX($Z$40:$AD$40),$Z$40:$AD$43,4,FALSE)*-0.05092)+(AJ36*-0.06897)+((AJ36*AJ21)*-0.00289)+76.0769)</f>
        <v>#DIV/0!</v>
      </c>
      <c r="AK37" s="171"/>
      <c r="AL37" s="119"/>
    </row>
    <row r="38" spans="1:38" ht="14" customHeight="1">
      <c r="A38" s="295" t="s">
        <v>107</v>
      </c>
      <c r="B38" s="281"/>
      <c r="C38" s="281"/>
      <c r="D38" s="281"/>
      <c r="E38" s="281"/>
      <c r="F38" s="281"/>
      <c r="G38" s="281"/>
      <c r="H38" s="281"/>
      <c r="I38" s="281"/>
      <c r="J38" s="281"/>
      <c r="K38" s="281"/>
      <c r="L38" s="281"/>
      <c r="M38" s="281"/>
      <c r="N38" s="281"/>
      <c r="O38" s="281"/>
      <c r="P38" s="281"/>
      <c r="Q38" s="281"/>
      <c r="R38" s="281"/>
      <c r="S38" s="281"/>
      <c r="T38" s="281" t="e">
        <f>T37+T35</f>
        <v>#DIV/0!</v>
      </c>
      <c r="U38" s="281" t="e">
        <f t="shared" ref="U38:X38" si="85">U37+U35</f>
        <v>#DIV/0!</v>
      </c>
      <c r="V38" s="281" t="e">
        <f t="shared" si="85"/>
        <v>#DIV/0!</v>
      </c>
      <c r="W38" s="281" t="e">
        <f t="shared" si="85"/>
        <v>#DIV/0!</v>
      </c>
      <c r="X38" s="281" t="e">
        <f t="shared" si="85"/>
        <v>#DIV/0!</v>
      </c>
      <c r="Y38" s="281"/>
      <c r="Z38" s="281" t="e">
        <f>Z37+Z35</f>
        <v>#DIV/0!</v>
      </c>
      <c r="AA38" s="281" t="e">
        <f t="shared" ref="AA38:AD38" si="86">AA37+AA35</f>
        <v>#DIV/0!</v>
      </c>
      <c r="AB38" s="281" t="e">
        <f t="shared" si="86"/>
        <v>#DIV/0!</v>
      </c>
      <c r="AC38" s="281" t="e">
        <f t="shared" si="86"/>
        <v>#DIV/0!</v>
      </c>
      <c r="AD38" s="281" t="e">
        <f t="shared" si="86"/>
        <v>#DIV/0!</v>
      </c>
      <c r="AE38" s="281"/>
      <c r="AF38" s="281" t="e">
        <f>AF37+AF35</f>
        <v>#DIV/0!</v>
      </c>
      <c r="AG38" s="281" t="e">
        <f t="shared" ref="AG38:AJ38" si="87">AG37+AG35</f>
        <v>#DIV/0!</v>
      </c>
      <c r="AH38" s="281" t="e">
        <f t="shared" si="87"/>
        <v>#DIV/0!</v>
      </c>
      <c r="AI38" s="281" t="e">
        <f t="shared" si="87"/>
        <v>#DIV/0!</v>
      </c>
      <c r="AJ38" s="281" t="e">
        <f t="shared" si="87"/>
        <v>#DIV/0!</v>
      </c>
      <c r="AK38" s="171"/>
      <c r="AL38" s="119"/>
    </row>
    <row r="39" spans="1:38" ht="14" customHeight="1">
      <c r="A39" s="169"/>
      <c r="B39" s="300"/>
      <c r="C39" s="300"/>
      <c r="D39" s="300"/>
      <c r="E39" s="300"/>
      <c r="F39" s="300"/>
      <c r="G39" s="300"/>
      <c r="H39" s="300"/>
      <c r="I39" s="300"/>
      <c r="J39" s="300"/>
      <c r="K39" s="300"/>
      <c r="L39" s="300"/>
      <c r="M39" s="300"/>
      <c r="N39" s="300"/>
      <c r="O39" s="300"/>
      <c r="P39" s="300"/>
      <c r="Q39" s="300"/>
      <c r="R39" s="300"/>
      <c r="S39" s="300"/>
      <c r="T39" s="301"/>
      <c r="U39" s="301"/>
      <c r="V39" s="301"/>
      <c r="W39" s="301"/>
      <c r="X39" s="301"/>
      <c r="Y39" s="301"/>
      <c r="Z39" s="301"/>
      <c r="AA39" s="301"/>
      <c r="AB39" s="301"/>
      <c r="AC39" s="301"/>
      <c r="AD39" s="301"/>
      <c r="AE39" s="301"/>
      <c r="AF39" s="301"/>
      <c r="AG39" s="301"/>
      <c r="AH39" s="301"/>
      <c r="AI39" s="301"/>
      <c r="AJ39" s="301"/>
      <c r="AK39" s="174"/>
      <c r="AL39" s="119"/>
    </row>
    <row r="40" spans="1:38" ht="14" customHeight="1">
      <c r="A40" s="175"/>
      <c r="B40" s="52" t="e">
        <f>B31</f>
        <v>#DIV/0!</v>
      </c>
      <c r="C40" s="52" t="e">
        <f t="shared" ref="C40:AJ40" si="88">C31</f>
        <v>#DIV/0!</v>
      </c>
      <c r="D40" s="52" t="e">
        <f t="shared" si="88"/>
        <v>#DIV/0!</v>
      </c>
      <c r="E40" s="52" t="e">
        <f t="shared" si="88"/>
        <v>#DIV/0!</v>
      </c>
      <c r="F40" s="52" t="e">
        <f t="shared" si="88"/>
        <v>#DIV/0!</v>
      </c>
      <c r="G40" s="52"/>
      <c r="H40" s="52" t="e">
        <f t="shared" si="88"/>
        <v>#DIV/0!</v>
      </c>
      <c r="I40" s="52" t="e">
        <f t="shared" si="88"/>
        <v>#DIV/0!</v>
      </c>
      <c r="J40" s="52" t="e">
        <f t="shared" si="88"/>
        <v>#DIV/0!</v>
      </c>
      <c r="K40" s="52" t="e">
        <f t="shared" si="88"/>
        <v>#DIV/0!</v>
      </c>
      <c r="L40" s="52" t="e">
        <f t="shared" si="88"/>
        <v>#DIV/0!</v>
      </c>
      <c r="M40" s="52"/>
      <c r="N40" s="52" t="e">
        <f t="shared" si="88"/>
        <v>#DIV/0!</v>
      </c>
      <c r="O40" s="52" t="e">
        <f t="shared" si="88"/>
        <v>#DIV/0!</v>
      </c>
      <c r="P40" s="52" t="e">
        <f>P31</f>
        <v>#DIV/0!</v>
      </c>
      <c r="Q40" s="52" t="e">
        <f t="shared" si="88"/>
        <v>#DIV/0!</v>
      </c>
      <c r="R40" s="52" t="e">
        <f t="shared" si="88"/>
        <v>#DIV/0!</v>
      </c>
      <c r="S40" s="52"/>
      <c r="T40" s="52" t="e">
        <f t="shared" si="88"/>
        <v>#DIV/0!</v>
      </c>
      <c r="U40" s="52" t="e">
        <f t="shared" si="88"/>
        <v>#DIV/0!</v>
      </c>
      <c r="V40" s="52" t="e">
        <f t="shared" si="88"/>
        <v>#DIV/0!</v>
      </c>
      <c r="W40" s="52" t="e">
        <f t="shared" si="88"/>
        <v>#DIV/0!</v>
      </c>
      <c r="X40" s="52" t="e">
        <f t="shared" si="88"/>
        <v>#DIV/0!</v>
      </c>
      <c r="Y40" s="52"/>
      <c r="Z40" s="52" t="e">
        <f t="shared" si="88"/>
        <v>#DIV/0!</v>
      </c>
      <c r="AA40" s="52" t="e">
        <f t="shared" si="88"/>
        <v>#DIV/0!</v>
      </c>
      <c r="AB40" s="52" t="e">
        <f t="shared" si="88"/>
        <v>#DIV/0!</v>
      </c>
      <c r="AC40" s="52" t="e">
        <f t="shared" si="88"/>
        <v>#DIV/0!</v>
      </c>
      <c r="AD40" s="52" t="e">
        <f t="shared" si="88"/>
        <v>#DIV/0!</v>
      </c>
      <c r="AE40" s="52"/>
      <c r="AF40" s="52" t="e">
        <f t="shared" si="88"/>
        <v>#DIV/0!</v>
      </c>
      <c r="AG40" s="52" t="e">
        <f t="shared" si="88"/>
        <v>#DIV/0!</v>
      </c>
      <c r="AH40" s="52" t="e">
        <f t="shared" si="88"/>
        <v>#DIV/0!</v>
      </c>
      <c r="AI40" s="52" t="e">
        <f t="shared" si="88"/>
        <v>#DIV/0!</v>
      </c>
      <c r="AJ40" s="52" t="e">
        <f t="shared" si="88"/>
        <v>#DIV/0!</v>
      </c>
      <c r="AK40" s="173"/>
      <c r="AL40" s="115"/>
    </row>
    <row r="41" spans="1:38" ht="14" customHeight="1">
      <c r="A41" s="277"/>
      <c r="B41" s="52" t="e">
        <f>B30</f>
        <v>#DIV/0!</v>
      </c>
      <c r="C41" s="52" t="e">
        <f t="shared" ref="C41:AJ41" si="89">C30</f>
        <v>#DIV/0!</v>
      </c>
      <c r="D41" s="52" t="e">
        <f t="shared" si="89"/>
        <v>#DIV/0!</v>
      </c>
      <c r="E41" s="52" t="e">
        <f t="shared" si="89"/>
        <v>#DIV/0!</v>
      </c>
      <c r="F41" s="52" t="e">
        <f t="shared" si="89"/>
        <v>#DIV/0!</v>
      </c>
      <c r="G41" s="52"/>
      <c r="H41" s="52" t="e">
        <f t="shared" si="89"/>
        <v>#DIV/0!</v>
      </c>
      <c r="I41" s="52" t="e">
        <f t="shared" si="89"/>
        <v>#DIV/0!</v>
      </c>
      <c r="J41" s="52" t="e">
        <f t="shared" si="89"/>
        <v>#DIV/0!</v>
      </c>
      <c r="K41" s="52" t="e">
        <f t="shared" si="89"/>
        <v>#DIV/0!</v>
      </c>
      <c r="L41" s="52" t="e">
        <f t="shared" si="89"/>
        <v>#DIV/0!</v>
      </c>
      <c r="M41" s="52"/>
      <c r="N41" s="52" t="e">
        <f t="shared" si="89"/>
        <v>#DIV/0!</v>
      </c>
      <c r="O41" s="52" t="e">
        <f t="shared" si="89"/>
        <v>#DIV/0!</v>
      </c>
      <c r="P41" s="52" t="e">
        <f t="shared" si="89"/>
        <v>#DIV/0!</v>
      </c>
      <c r="Q41" s="52" t="e">
        <f t="shared" si="89"/>
        <v>#DIV/0!</v>
      </c>
      <c r="R41" s="52" t="e">
        <f t="shared" si="89"/>
        <v>#DIV/0!</v>
      </c>
      <c r="S41" s="52"/>
      <c r="T41" s="52" t="e">
        <f>T30</f>
        <v>#DIV/0!</v>
      </c>
      <c r="U41" s="52" t="e">
        <f t="shared" si="89"/>
        <v>#DIV/0!</v>
      </c>
      <c r="V41" s="52" t="e">
        <f t="shared" si="89"/>
        <v>#DIV/0!</v>
      </c>
      <c r="W41" s="52" t="e">
        <f t="shared" si="89"/>
        <v>#DIV/0!</v>
      </c>
      <c r="X41" s="52" t="e">
        <f t="shared" si="89"/>
        <v>#DIV/0!</v>
      </c>
      <c r="Y41" s="52"/>
      <c r="Z41" s="52" t="e">
        <f t="shared" si="89"/>
        <v>#DIV/0!</v>
      </c>
      <c r="AA41" s="52" t="e">
        <f t="shared" si="89"/>
        <v>#DIV/0!</v>
      </c>
      <c r="AB41" s="52" t="e">
        <f t="shared" si="89"/>
        <v>#DIV/0!</v>
      </c>
      <c r="AC41" s="52" t="e">
        <f t="shared" si="89"/>
        <v>#DIV/0!</v>
      </c>
      <c r="AD41" s="52" t="e">
        <f t="shared" si="89"/>
        <v>#DIV/0!</v>
      </c>
      <c r="AE41" s="52"/>
      <c r="AF41" s="52" t="e">
        <f t="shared" si="89"/>
        <v>#DIV/0!</v>
      </c>
      <c r="AG41" s="52" t="e">
        <f t="shared" si="89"/>
        <v>#DIV/0!</v>
      </c>
      <c r="AH41" s="52" t="e">
        <f t="shared" si="89"/>
        <v>#DIV/0!</v>
      </c>
      <c r="AI41" s="52" t="e">
        <f t="shared" si="89"/>
        <v>#DIV/0!</v>
      </c>
      <c r="AJ41" s="52" t="e">
        <f t="shared" si="89"/>
        <v>#DIV/0!</v>
      </c>
      <c r="AK41" s="17"/>
      <c r="AL41" s="17"/>
    </row>
    <row r="42" spans="1:38" ht="14" customHeight="1">
      <c r="A42" s="277"/>
      <c r="B42" s="306">
        <f>B6</f>
        <v>0</v>
      </c>
      <c r="C42" s="306">
        <f>C6</f>
        <v>0</v>
      </c>
      <c r="D42" s="306">
        <f>D6</f>
        <v>0</v>
      </c>
      <c r="E42" s="306">
        <f>E6</f>
        <v>0</v>
      </c>
      <c r="F42" s="306">
        <f>F6</f>
        <v>0</v>
      </c>
      <c r="G42" s="306"/>
      <c r="H42" s="306">
        <f>H6</f>
        <v>0</v>
      </c>
      <c r="I42" s="306">
        <f>I6</f>
        <v>0</v>
      </c>
      <c r="J42" s="306">
        <f>J6</f>
        <v>0</v>
      </c>
      <c r="K42" s="306">
        <f>K6</f>
        <v>0</v>
      </c>
      <c r="L42" s="306">
        <f>L6</f>
        <v>0</v>
      </c>
      <c r="M42" s="306"/>
      <c r="N42" s="306">
        <f>N6</f>
        <v>0</v>
      </c>
      <c r="O42" s="306">
        <f>O6</f>
        <v>0</v>
      </c>
      <c r="P42" s="306">
        <f>P6</f>
        <v>0</v>
      </c>
      <c r="Q42" s="306">
        <f>Q6</f>
        <v>0</v>
      </c>
      <c r="R42" s="306">
        <f>R6</f>
        <v>0</v>
      </c>
      <c r="S42" s="306"/>
      <c r="T42" s="306">
        <f>T6</f>
        <v>0</v>
      </c>
      <c r="U42" s="306">
        <f>U6</f>
        <v>0</v>
      </c>
      <c r="V42" s="306">
        <f>V6</f>
        <v>0</v>
      </c>
      <c r="W42" s="306">
        <f>W6</f>
        <v>0</v>
      </c>
      <c r="X42" s="306">
        <f>X6</f>
        <v>0</v>
      </c>
      <c r="Y42" s="306"/>
      <c r="Z42" s="306">
        <f>Z6</f>
        <v>0</v>
      </c>
      <c r="AA42" s="306">
        <f>AA6</f>
        <v>0</v>
      </c>
      <c r="AB42" s="306">
        <f>AB6</f>
        <v>0</v>
      </c>
      <c r="AC42" s="306">
        <f>AC6</f>
        <v>0</v>
      </c>
      <c r="AD42" s="306">
        <f>AD6</f>
        <v>0</v>
      </c>
      <c r="AE42" s="306"/>
      <c r="AF42" s="306">
        <f>AF6</f>
        <v>0</v>
      </c>
      <c r="AG42" s="306">
        <f>AG6</f>
        <v>0</v>
      </c>
      <c r="AH42" s="306">
        <f>AH6</f>
        <v>0</v>
      </c>
      <c r="AI42" s="306">
        <f>AI6</f>
        <v>0</v>
      </c>
      <c r="AJ42" s="306">
        <f>AJ6</f>
        <v>0</v>
      </c>
      <c r="AK42" s="17"/>
      <c r="AL42" s="17"/>
    </row>
    <row r="43" spans="1:38" ht="14" customHeight="1">
      <c r="A43" s="115"/>
      <c r="B43" s="302"/>
      <c r="C43" s="302"/>
      <c r="D43" s="302"/>
      <c r="E43" s="302"/>
      <c r="F43" s="302"/>
      <c r="G43" s="302"/>
      <c r="H43" s="303"/>
      <c r="I43" s="303"/>
      <c r="J43" s="303"/>
      <c r="K43" s="303"/>
      <c r="L43" s="303"/>
      <c r="M43" s="303"/>
      <c r="N43" s="310">
        <f>N8</f>
        <v>0</v>
      </c>
      <c r="O43" s="310">
        <f t="shared" ref="O43:AJ43" si="90">O8</f>
        <v>0</v>
      </c>
      <c r="P43" s="310">
        <f t="shared" si="90"/>
        <v>0</v>
      </c>
      <c r="Q43" s="310">
        <f t="shared" si="90"/>
        <v>0</v>
      </c>
      <c r="R43" s="310">
        <f t="shared" si="90"/>
        <v>0</v>
      </c>
      <c r="S43" s="310"/>
      <c r="T43" s="310">
        <f>T8</f>
        <v>0</v>
      </c>
      <c r="U43" s="310">
        <f t="shared" si="90"/>
        <v>0</v>
      </c>
      <c r="V43" s="310">
        <f t="shared" si="90"/>
        <v>0</v>
      </c>
      <c r="W43" s="310">
        <f t="shared" si="90"/>
        <v>0</v>
      </c>
      <c r="X43" s="310">
        <f t="shared" si="90"/>
        <v>0</v>
      </c>
      <c r="Y43" s="310"/>
      <c r="Z43" s="310">
        <f t="shared" si="90"/>
        <v>0</v>
      </c>
      <c r="AA43" s="310">
        <f t="shared" si="90"/>
        <v>0</v>
      </c>
      <c r="AB43" s="310">
        <f t="shared" si="90"/>
        <v>0</v>
      </c>
      <c r="AC43" s="310">
        <f t="shared" si="90"/>
        <v>0</v>
      </c>
      <c r="AD43" s="310">
        <f t="shared" si="90"/>
        <v>0</v>
      </c>
      <c r="AE43" s="310"/>
      <c r="AF43" s="310">
        <f t="shared" si="90"/>
        <v>0</v>
      </c>
      <c r="AG43" s="310">
        <f t="shared" si="90"/>
        <v>0</v>
      </c>
      <c r="AH43" s="310">
        <f t="shared" si="90"/>
        <v>0</v>
      </c>
      <c r="AI43" s="310">
        <f t="shared" si="90"/>
        <v>0</v>
      </c>
      <c r="AJ43" s="310">
        <f t="shared" si="90"/>
        <v>0</v>
      </c>
      <c r="AK43" s="17"/>
      <c r="AL43" s="17"/>
    </row>
    <row r="44" spans="1:38" ht="14" customHeight="1">
      <c r="A44" s="115"/>
      <c r="B44" s="302"/>
      <c r="C44" s="302"/>
      <c r="D44" s="302"/>
      <c r="E44" s="302"/>
      <c r="F44" s="302"/>
      <c r="G44" s="302"/>
      <c r="H44" s="303"/>
      <c r="I44" s="303"/>
      <c r="J44" s="303"/>
      <c r="K44" s="303"/>
      <c r="L44" s="303"/>
      <c r="M44" s="303"/>
      <c r="N44" s="303"/>
      <c r="O44" s="303"/>
      <c r="P44" s="303"/>
      <c r="Q44" s="303"/>
      <c r="R44" s="303"/>
      <c r="S44" s="303"/>
      <c r="T44" s="304" t="e">
        <f>T38</f>
        <v>#DIV/0!</v>
      </c>
      <c r="U44" s="304" t="e">
        <f t="shared" ref="U44:AJ44" si="91">U38</f>
        <v>#DIV/0!</v>
      </c>
      <c r="V44" s="304" t="e">
        <f t="shared" si="91"/>
        <v>#DIV/0!</v>
      </c>
      <c r="W44" s="304" t="e">
        <f t="shared" si="91"/>
        <v>#DIV/0!</v>
      </c>
      <c r="X44" s="304" t="e">
        <f t="shared" si="91"/>
        <v>#DIV/0!</v>
      </c>
      <c r="Y44" s="304"/>
      <c r="Z44" s="304" t="e">
        <f t="shared" si="91"/>
        <v>#DIV/0!</v>
      </c>
      <c r="AA44" s="304" t="e">
        <f t="shared" si="91"/>
        <v>#DIV/0!</v>
      </c>
      <c r="AB44" s="304" t="e">
        <f t="shared" si="91"/>
        <v>#DIV/0!</v>
      </c>
      <c r="AC44" s="304" t="e">
        <f t="shared" si="91"/>
        <v>#DIV/0!</v>
      </c>
      <c r="AD44" s="304" t="e">
        <f t="shared" si="91"/>
        <v>#DIV/0!</v>
      </c>
      <c r="AE44" s="304"/>
      <c r="AF44" s="304" t="e">
        <f t="shared" si="91"/>
        <v>#DIV/0!</v>
      </c>
      <c r="AG44" s="304" t="e">
        <f t="shared" si="91"/>
        <v>#DIV/0!</v>
      </c>
      <c r="AH44" s="304" t="e">
        <f t="shared" si="91"/>
        <v>#DIV/0!</v>
      </c>
      <c r="AI44" s="304" t="e">
        <f t="shared" si="91"/>
        <v>#DIV/0!</v>
      </c>
      <c r="AJ44" s="304" t="e">
        <f t="shared" si="91"/>
        <v>#DIV/0!</v>
      </c>
      <c r="AK44" s="17"/>
      <c r="AL44" s="17"/>
    </row>
    <row r="45" spans="1:38" ht="14" customHeight="1">
      <c r="A45" s="115"/>
      <c r="B45" s="302"/>
      <c r="C45" s="302"/>
      <c r="D45" s="302"/>
      <c r="E45" s="302"/>
      <c r="F45" s="302"/>
      <c r="G45" s="302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4"/>
      <c r="U45" s="304"/>
      <c r="V45" s="304"/>
      <c r="W45" s="304"/>
      <c r="X45" s="304"/>
      <c r="Y45" s="304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17"/>
      <c r="AL45" s="17"/>
    </row>
    <row r="46" spans="1:38" ht="14" customHeight="1">
      <c r="A46" s="115"/>
      <c r="B46" s="302"/>
      <c r="C46" s="302"/>
      <c r="D46" s="302"/>
      <c r="E46" s="302"/>
      <c r="F46" s="302"/>
      <c r="G46" s="302"/>
      <c r="H46" s="303"/>
      <c r="I46" s="303"/>
      <c r="J46" s="303"/>
      <c r="K46" s="303"/>
      <c r="L46" s="303"/>
      <c r="M46" s="303"/>
      <c r="N46" s="303"/>
      <c r="O46" s="303"/>
      <c r="P46" s="303"/>
      <c r="Q46" s="303"/>
      <c r="R46" s="303"/>
      <c r="S46" s="303"/>
      <c r="T46" s="304" t="e">
        <f>T40</f>
        <v>#DIV/0!</v>
      </c>
      <c r="U46" s="304" t="e">
        <f t="shared" ref="U46:X46" si="92">U40</f>
        <v>#DIV/0!</v>
      </c>
      <c r="V46" s="304" t="e">
        <f t="shared" si="92"/>
        <v>#DIV/0!</v>
      </c>
      <c r="W46" s="304" t="e">
        <f t="shared" si="92"/>
        <v>#DIV/0!</v>
      </c>
      <c r="X46" s="304" t="e">
        <f t="shared" si="92"/>
        <v>#DIV/0!</v>
      </c>
      <c r="Y46" s="304"/>
      <c r="Z46" s="304" t="e">
        <f t="shared" ref="Z46:AJ46" si="93">Z41</f>
        <v>#DIV/0!</v>
      </c>
      <c r="AA46" s="304" t="e">
        <f t="shared" si="93"/>
        <v>#DIV/0!</v>
      </c>
      <c r="AB46" s="304" t="e">
        <f t="shared" si="93"/>
        <v>#DIV/0!</v>
      </c>
      <c r="AC46" s="304" t="e">
        <f t="shared" si="93"/>
        <v>#DIV/0!</v>
      </c>
      <c r="AD46" s="304" t="e">
        <f t="shared" si="93"/>
        <v>#DIV/0!</v>
      </c>
      <c r="AE46" s="304"/>
      <c r="AF46" s="304" t="e">
        <f t="shared" si="93"/>
        <v>#DIV/0!</v>
      </c>
      <c r="AG46" s="304" t="e">
        <f t="shared" si="93"/>
        <v>#DIV/0!</v>
      </c>
      <c r="AH46" s="304" t="e">
        <f t="shared" si="93"/>
        <v>#DIV/0!</v>
      </c>
      <c r="AI46" s="304" t="e">
        <f t="shared" si="93"/>
        <v>#DIV/0!</v>
      </c>
      <c r="AJ46" s="304" t="e">
        <f t="shared" si="93"/>
        <v>#DIV/0!</v>
      </c>
      <c r="AK46" s="17"/>
      <c r="AL46" s="17"/>
    </row>
    <row r="47" spans="1:38" ht="14" customHeight="1">
      <c r="A47" s="112"/>
      <c r="B47" s="302"/>
      <c r="C47" s="302"/>
      <c r="D47" s="302"/>
      <c r="E47" s="302"/>
      <c r="F47" s="302"/>
      <c r="G47" s="302"/>
      <c r="H47" s="303"/>
      <c r="I47" s="303"/>
      <c r="J47" s="303"/>
      <c r="K47" s="303"/>
      <c r="L47" s="303"/>
      <c r="M47" s="303"/>
      <c r="N47" s="303"/>
      <c r="O47" s="303"/>
      <c r="P47" s="303"/>
      <c r="Q47" s="303"/>
      <c r="R47" s="303"/>
      <c r="S47" s="303"/>
      <c r="T47" s="304" t="e">
        <f>T44</f>
        <v>#DIV/0!</v>
      </c>
      <c r="U47" s="304" t="e">
        <f t="shared" ref="U47:X47" si="94">U44</f>
        <v>#DIV/0!</v>
      </c>
      <c r="V47" s="304" t="e">
        <f t="shared" si="94"/>
        <v>#DIV/0!</v>
      </c>
      <c r="W47" s="304" t="e">
        <f t="shared" si="94"/>
        <v>#DIV/0!</v>
      </c>
      <c r="X47" s="304" t="e">
        <f t="shared" si="94"/>
        <v>#DIV/0!</v>
      </c>
      <c r="Y47" s="304"/>
      <c r="Z47" s="304" t="e">
        <f t="shared" ref="Z47:AJ47" si="95">Z44</f>
        <v>#DIV/0!</v>
      </c>
      <c r="AA47" s="304" t="e">
        <f t="shared" si="95"/>
        <v>#DIV/0!</v>
      </c>
      <c r="AB47" s="304" t="e">
        <f t="shared" si="95"/>
        <v>#DIV/0!</v>
      </c>
      <c r="AC47" s="304" t="e">
        <f t="shared" si="95"/>
        <v>#DIV/0!</v>
      </c>
      <c r="AD47" s="304" t="e">
        <f t="shared" si="95"/>
        <v>#DIV/0!</v>
      </c>
      <c r="AE47" s="304"/>
      <c r="AF47" s="304" t="e">
        <f t="shared" si="95"/>
        <v>#DIV/0!</v>
      </c>
      <c r="AG47" s="304" t="e">
        <f t="shared" si="95"/>
        <v>#DIV/0!</v>
      </c>
      <c r="AH47" s="304" t="e">
        <f t="shared" si="95"/>
        <v>#DIV/0!</v>
      </c>
      <c r="AI47" s="304" t="e">
        <f t="shared" si="95"/>
        <v>#DIV/0!</v>
      </c>
      <c r="AJ47" s="304" t="e">
        <f t="shared" si="95"/>
        <v>#DIV/0!</v>
      </c>
      <c r="AK47" s="17"/>
      <c r="AL47" s="17"/>
    </row>
    <row r="48" spans="1:38" ht="13.25" customHeight="1"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51"/>
      <c r="O48" s="51"/>
      <c r="P48" s="51"/>
      <c r="Q48" s="51"/>
      <c r="R48" s="51"/>
      <c r="S48" s="51"/>
      <c r="T48" s="303"/>
      <c r="U48" s="303"/>
      <c r="V48" s="303"/>
      <c r="W48" s="303"/>
      <c r="X48" s="303"/>
      <c r="Y48" s="303"/>
      <c r="Z48" s="50"/>
      <c r="AA48" s="50"/>
      <c r="AB48" s="50"/>
      <c r="AC48" s="50"/>
      <c r="AD48" s="50"/>
      <c r="AE48" s="50"/>
      <c r="AF48" s="49"/>
      <c r="AG48" s="49"/>
      <c r="AH48" s="49"/>
      <c r="AI48" s="49"/>
      <c r="AJ48" s="49"/>
      <c r="AK48" s="17"/>
      <c r="AL48" s="17"/>
    </row>
    <row r="49" spans="1:36" ht="13.25" customHeight="1">
      <c r="A49" s="277"/>
      <c r="B49" s="50"/>
      <c r="C49" s="50"/>
      <c r="D49" s="50"/>
      <c r="E49" s="50"/>
      <c r="F49" s="50"/>
      <c r="G49" s="50"/>
      <c r="H49" s="305"/>
      <c r="I49" s="305"/>
      <c r="J49" s="305"/>
      <c r="K49" s="305"/>
      <c r="L49" s="305"/>
      <c r="M49" s="305"/>
      <c r="N49" s="50"/>
      <c r="O49" s="50"/>
      <c r="P49" s="50"/>
      <c r="Q49" s="50"/>
      <c r="R49" s="50"/>
      <c r="S49" s="50"/>
      <c r="T49" s="51"/>
      <c r="U49" s="50"/>
      <c r="V49" s="50"/>
      <c r="W49" s="50"/>
      <c r="X49" s="50"/>
      <c r="Y49" s="50"/>
      <c r="Z49" s="51"/>
      <c r="AA49" s="50"/>
      <c r="AB49" s="50"/>
      <c r="AC49" s="50"/>
      <c r="AD49" s="50"/>
      <c r="AE49" s="50"/>
      <c r="AF49" s="51"/>
      <c r="AG49" s="49"/>
      <c r="AH49" s="49"/>
      <c r="AI49" s="49"/>
      <c r="AJ49" s="49"/>
    </row>
    <row r="50" spans="1:36" ht="17">
      <c r="A50" s="277"/>
      <c r="H50" s="201"/>
      <c r="I50" s="201"/>
      <c r="J50" s="201"/>
      <c r="K50" s="201"/>
      <c r="L50" s="201"/>
      <c r="M50" s="201"/>
    </row>
    <row r="51" spans="1:36" ht="17">
      <c r="A51" s="277"/>
      <c r="H51" s="201"/>
      <c r="I51" s="201"/>
      <c r="J51" s="201"/>
      <c r="K51" s="201"/>
      <c r="L51" s="201"/>
      <c r="M51" s="201"/>
    </row>
  </sheetData>
  <mergeCells count="9">
    <mergeCell ref="AF3:AJ3"/>
    <mergeCell ref="B2:AJ2"/>
    <mergeCell ref="A1:AJ1"/>
    <mergeCell ref="B3:F3"/>
    <mergeCell ref="H3:L3"/>
    <mergeCell ref="N3:R3"/>
    <mergeCell ref="T3:X3"/>
    <mergeCell ref="Z3:AD3"/>
    <mergeCell ref="A2:A3"/>
  </mergeCells>
  <pageMargins left="0.7" right="0.7" top="0.75" bottom="0.75" header="0.3" footer="0.3"/>
  <pageSetup scale="30"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DA9E089A-B36B-410A-BD5B-7D117F092F57}">
            <xm:f>Inputs!$H$19=2</xm:f>
            <x14:dxf>
              <font>
                <b val="0"/>
                <i val="0"/>
                <color theme="1"/>
              </font>
            </x14:dxf>
          </x14:cfRule>
          <xm:sqref>A10</xm:sqref>
        </x14:conditionalFormatting>
        <x14:conditionalFormatting xmlns:xm="http://schemas.microsoft.com/office/excel/2006/main">
          <x14:cfRule type="expression" priority="2" id="{4FE24E09-1AF9-4A3C-93FD-A8B06E7EFF50}">
            <xm:f>Inputs!$N$3=5</xm:f>
            <x14:dxf>
              <font>
                <color theme="1"/>
              </font>
            </x14:dxf>
          </x14:cfRule>
          <xm:sqref>Z3 AE3 Z4:AE5 Z10:AE29 AE6 Z7:AE8</xm:sqref>
        </x14:conditionalFormatting>
        <x14:conditionalFormatting xmlns:xm="http://schemas.microsoft.com/office/excel/2006/main">
          <x14:cfRule type="expression" priority="1" id="{7184218E-42C5-4DB5-871F-F83AB23A8166}">
            <xm:f>Inputs!$N$3=6</xm:f>
            <x14:dxf>
              <font>
                <color theme="1"/>
              </font>
            </x14:dxf>
          </x14:cfRule>
          <xm:sqref>Z3 AE3:AF3 AK3 Z4:AK5 Z10:AK29 AK9 AE6 AK6 Z7:AK8</xm:sqref>
        </x14:conditionalFormatting>
      </x14:conditionalFormattings>
    </ex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 enableFormatConditionsCalculation="0"/>
  <dimension ref="A1:N46"/>
  <sheetViews>
    <sheetView showGridLines="0" zoomScale="70" zoomScaleNormal="70" zoomScaleSheetLayoutView="80" zoomScalePageLayoutView="70" workbookViewId="0">
      <selection activeCell="A2" sqref="A2:A4"/>
    </sheetView>
  </sheetViews>
  <sheetFormatPr baseColWidth="10" defaultColWidth="8.83203125" defaultRowHeight="16" x14ac:dyDescent="0"/>
  <cols>
    <col min="1" max="1" width="78.6640625" customWidth="1"/>
    <col min="2" max="7" width="8.6640625" customWidth="1"/>
    <col min="8" max="8" width="3.83203125" customWidth="1"/>
    <col min="9" max="9" width="64.5" customWidth="1"/>
    <col min="10" max="10" width="8" bestFit="1" customWidth="1"/>
    <col min="11" max="12" width="7.33203125" hidden="1" customWidth="1"/>
    <col min="13" max="13" width="7.33203125" style="5" hidden="1" customWidth="1"/>
    <col min="15" max="354" width="12.6640625" customWidth="1"/>
  </cols>
  <sheetData>
    <row r="1" spans="1:14" ht="35" customHeight="1" thickBot="1">
      <c r="A1" s="443" t="s">
        <v>301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</row>
    <row r="2" spans="1:14" ht="20" customHeight="1" thickTop="1">
      <c r="A2" s="441" t="s">
        <v>3</v>
      </c>
      <c r="B2" s="442" t="s">
        <v>8</v>
      </c>
      <c r="C2" s="442"/>
      <c r="D2" s="442"/>
      <c r="E2" s="442"/>
      <c r="F2" s="442"/>
      <c r="G2" s="442"/>
      <c r="H2" s="162"/>
      <c r="I2" s="441" t="s">
        <v>135</v>
      </c>
      <c r="J2" s="441"/>
      <c r="K2" s="176"/>
      <c r="L2" s="176"/>
      <c r="M2" s="176"/>
    </row>
    <row r="3" spans="1:14" ht="20" customHeight="1">
      <c r="A3" s="442"/>
      <c r="B3" s="442"/>
      <c r="C3" s="442"/>
      <c r="D3" s="442"/>
      <c r="E3" s="442"/>
      <c r="F3" s="442"/>
      <c r="G3" s="442"/>
      <c r="H3" s="162"/>
      <c r="I3" s="442"/>
      <c r="J3" s="442"/>
      <c r="K3" s="177"/>
      <c r="L3" s="177"/>
      <c r="M3" s="177"/>
    </row>
    <row r="4" spans="1:14" ht="20" customHeight="1">
      <c r="A4" s="442"/>
      <c r="B4" s="162">
        <v>1</v>
      </c>
      <c r="C4" s="162">
        <v>2</v>
      </c>
      <c r="D4" s="162">
        <v>3</v>
      </c>
      <c r="E4" s="162">
        <v>4</v>
      </c>
      <c r="F4" s="377">
        <v>5</v>
      </c>
      <c r="G4" s="377">
        <v>6</v>
      </c>
      <c r="H4" s="162"/>
      <c r="I4" s="177" t="s">
        <v>3</v>
      </c>
      <c r="J4" s="177" t="s">
        <v>122</v>
      </c>
      <c r="K4" s="147" t="s">
        <v>92</v>
      </c>
      <c r="L4" s="147" t="s">
        <v>93</v>
      </c>
      <c r="M4" s="147" t="s">
        <v>94</v>
      </c>
    </row>
    <row r="5" spans="1:14" ht="20" hidden="1" customHeight="1">
      <c r="A5" s="178" t="s">
        <v>12</v>
      </c>
      <c r="B5" s="163">
        <f>Inputs!$K$7</f>
        <v>0</v>
      </c>
      <c r="C5" s="163">
        <f>Inputs!$K$8</f>
        <v>0</v>
      </c>
      <c r="D5" s="163">
        <f>Inputs!$K$9</f>
        <v>0</v>
      </c>
      <c r="E5" s="163">
        <f>Inputs!$K$10</f>
        <v>0</v>
      </c>
      <c r="F5" s="171">
        <f>Inputs!$K$11</f>
        <v>0</v>
      </c>
      <c r="G5" s="171">
        <f>Inputs!$K$12</f>
        <v>0</v>
      </c>
      <c r="H5" s="163"/>
      <c r="N5" s="15"/>
    </row>
    <row r="6" spans="1:14" ht="20" hidden="1" customHeight="1">
      <c r="A6" s="178" t="s">
        <v>13</v>
      </c>
      <c r="B6" s="164">
        <f>Inputs!$L$7</f>
        <v>0</v>
      </c>
      <c r="C6" s="164">
        <f>Inputs!$L$8</f>
        <v>0</v>
      </c>
      <c r="D6" s="164">
        <f>Inputs!$L$9</f>
        <v>0</v>
      </c>
      <c r="E6" s="164">
        <f>Inputs!$L$10</f>
        <v>0</v>
      </c>
      <c r="F6" s="245">
        <f>Inputs!$L$11</f>
        <v>0</v>
      </c>
      <c r="G6" s="245">
        <f>Inputs!$L$12</f>
        <v>0</v>
      </c>
      <c r="H6" s="164"/>
      <c r="N6" s="15"/>
    </row>
    <row r="7" spans="1:14" ht="20" customHeight="1">
      <c r="A7" s="178" t="s">
        <v>293</v>
      </c>
      <c r="B7" s="164">
        <f>B5/2.2046</f>
        <v>0</v>
      </c>
      <c r="C7" s="164">
        <f t="shared" ref="C7:G7" si="0">C5/2.2046</f>
        <v>0</v>
      </c>
      <c r="D7" s="164">
        <f t="shared" si="0"/>
        <v>0</v>
      </c>
      <c r="E7" s="164">
        <f t="shared" si="0"/>
        <v>0</v>
      </c>
      <c r="F7" s="245">
        <f t="shared" si="0"/>
        <v>0</v>
      </c>
      <c r="G7" s="245">
        <f t="shared" si="0"/>
        <v>0</v>
      </c>
      <c r="H7" s="164"/>
      <c r="I7" s="179" t="s">
        <v>280</v>
      </c>
      <c r="J7" s="122" t="e">
        <f>IF(Inputs!$N$3=6,M7,IF(Inputs!$N$3=5,L7,IF(Inputs!$N$3=4,K7,"")))</f>
        <v>#DIV/0!</v>
      </c>
      <c r="K7" s="172" t="e">
        <f>((SUMPRODUCT($B$17:$E$17,$B$22:$E$22)/SUMPRODUCT($B$22:$E$22))/1000)</f>
        <v>#DIV/0!</v>
      </c>
      <c r="L7" s="172" t="e">
        <f>((SUMPRODUCT($B$17:$F$17,$B$22:$F$22)/SUMPRODUCT($B$22:$F$22))/1000)</f>
        <v>#DIV/0!</v>
      </c>
      <c r="M7" s="172" t="e">
        <f>((SUMPRODUCT($B$17:$G$17,$B$22:$G$22)/SUMPRODUCT($B$22:$G$22))/1000)</f>
        <v>#DIV/0!</v>
      </c>
      <c r="N7" s="15"/>
    </row>
    <row r="8" spans="1:14" ht="17">
      <c r="A8" s="178" t="s">
        <v>294</v>
      </c>
      <c r="B8" s="164">
        <f t="shared" ref="B8:G8" si="1">B6/2.2046</f>
        <v>0</v>
      </c>
      <c r="C8" s="164">
        <f t="shared" si="1"/>
        <v>0</v>
      </c>
      <c r="D8" s="164">
        <f t="shared" si="1"/>
        <v>0</v>
      </c>
      <c r="E8" s="164">
        <f t="shared" si="1"/>
        <v>0</v>
      </c>
      <c r="F8" s="245">
        <f t="shared" si="1"/>
        <v>0</v>
      </c>
      <c r="G8" s="245">
        <f t="shared" si="1"/>
        <v>0</v>
      </c>
      <c r="H8" s="164"/>
      <c r="I8" s="179" t="s">
        <v>16</v>
      </c>
      <c r="J8" s="122" t="e">
        <f>IF(Inputs!$N$3=6,M8,IF(Inputs!$N$3=5,L8,IF(Inputs!$N$3=4,K8,"")))</f>
        <v>#DIV/0!</v>
      </c>
      <c r="K8" s="172" t="e">
        <f>SUM($B$26:$E$26)/SUM($B$24:$E$24)</f>
        <v>#DIV/0!</v>
      </c>
      <c r="L8" s="172" t="e">
        <f>SUM($B$26:$F$26)/SUM($B$24:$F$24)</f>
        <v>#DIV/0!</v>
      </c>
      <c r="M8" s="172" t="e">
        <f>SUM($B$26:$G$26)/SUM($B$24:$G$24)</f>
        <v>#DIV/0!</v>
      </c>
      <c r="N8" s="15"/>
    </row>
    <row r="9" spans="1:14" ht="17" hidden="1">
      <c r="A9" s="178" t="s">
        <v>167</v>
      </c>
      <c r="B9" s="166">
        <f>Inputs!$M$7</f>
        <v>0</v>
      </c>
      <c r="C9" s="166">
        <f>Inputs!$M$8</f>
        <v>0</v>
      </c>
      <c r="D9" s="166">
        <f>Inputs!$M$9</f>
        <v>0</v>
      </c>
      <c r="E9" s="166">
        <f>Inputs!$M$10</f>
        <v>0</v>
      </c>
      <c r="F9" s="378">
        <f>Inputs!$M$11</f>
        <v>0</v>
      </c>
      <c r="G9" s="378">
        <f>Inputs!$M$12</f>
        <v>0</v>
      </c>
      <c r="H9" s="166"/>
      <c r="N9" s="15"/>
    </row>
    <row r="10" spans="1:14" ht="17">
      <c r="A10" s="178" t="s">
        <v>295</v>
      </c>
      <c r="B10" s="166">
        <f>B9*2.2046</f>
        <v>0</v>
      </c>
      <c r="C10" s="166">
        <f t="shared" ref="C10:G10" si="2">C9*2.2046</f>
        <v>0</v>
      </c>
      <c r="D10" s="166">
        <f t="shared" si="2"/>
        <v>0</v>
      </c>
      <c r="E10" s="166">
        <f t="shared" si="2"/>
        <v>0</v>
      </c>
      <c r="F10" s="378">
        <f t="shared" si="2"/>
        <v>0</v>
      </c>
      <c r="G10" s="378">
        <f t="shared" si="2"/>
        <v>0</v>
      </c>
      <c r="H10" s="166"/>
      <c r="I10" s="179" t="s">
        <v>281</v>
      </c>
      <c r="J10" s="122" t="e">
        <f>IF(Inputs!$N$3=6,M10,IF(Inputs!$N$3=5,L10,IF(Inputs!$N$3=4,K10,"")))</f>
        <v>#DIV/0!</v>
      </c>
      <c r="K10" s="174" t="e">
        <f>K7*K8</f>
        <v>#DIV/0!</v>
      </c>
      <c r="L10" s="174" t="e">
        <f>L7*L8</f>
        <v>#DIV/0!</v>
      </c>
      <c r="M10" s="174" t="e">
        <f>M7*M8</f>
        <v>#DIV/0!</v>
      </c>
      <c r="N10" s="15"/>
    </row>
    <row r="11" spans="1:14" ht="20" customHeight="1">
      <c r="A11" s="178" t="s">
        <v>153</v>
      </c>
      <c r="B11" s="164">
        <f>VLOOKUP(B9,Inputs!$J$22:$K$26, 2,FALSE)/0.907</f>
        <v>0</v>
      </c>
      <c r="C11" s="164">
        <f>VLOOKUP(C9,Inputs!$J$27:$K$31, 2,FALSE)/0.907</f>
        <v>0</v>
      </c>
      <c r="D11" s="164">
        <f>VLOOKUP(D9,Inputs!$J$32:$K$36, 2,FALSE)/0.907</f>
        <v>0</v>
      </c>
      <c r="E11" s="164">
        <f>VLOOKUP(E9,Inputs!$J$37:$K$41, 2,FALSE)/0.907</f>
        <v>0</v>
      </c>
      <c r="F11" s="245">
        <f>VLOOKUP(F9,Inputs!$J$42:$K$46, 2,FALSE)/0.907</f>
        <v>0</v>
      </c>
      <c r="G11" s="245">
        <f>VLOOKUP(G9,Inputs!$J$47:$K$51, 2,FALSE)/0.907</f>
        <v>0</v>
      </c>
      <c r="H11" s="164"/>
      <c r="I11" s="179" t="s">
        <v>38</v>
      </c>
      <c r="J11" s="164" t="e">
        <f>IF(Inputs!$N$3=6,M11,IF(Inputs!$N$3=5,L11,IF(Inputs!$N$3=4,K11,"")))</f>
        <v>#DIV/0!</v>
      </c>
      <c r="K11" s="172" t="e">
        <f>SUM(B22:E22)</f>
        <v>#DIV/0!</v>
      </c>
      <c r="L11" s="172" t="e">
        <f>SUM(B22:F22)</f>
        <v>#DIV/0!</v>
      </c>
      <c r="M11" s="172" t="e">
        <f>SUM(B22:G22)</f>
        <v>#DIV/0!</v>
      </c>
      <c r="N11" s="15"/>
    </row>
    <row r="12" spans="1:14" ht="20" customHeight="1">
      <c r="A12" s="178" t="s">
        <v>103</v>
      </c>
      <c r="B12" s="232" t="s">
        <v>171</v>
      </c>
      <c r="C12" s="232" t="s">
        <v>171</v>
      </c>
      <c r="D12" s="164">
        <f>VLOOKUP(D9,Inputs!$J$32:$L$36, 3,FALSE)</f>
        <v>0</v>
      </c>
      <c r="E12" s="164">
        <f>VLOOKUP(E9,Inputs!$J$37:$L$41, 3,FALSE)</f>
        <v>0</v>
      </c>
      <c r="F12" s="245">
        <f>VLOOKUP(F9,Inputs!$J$42:$L$46, 3,FALSE)</f>
        <v>0</v>
      </c>
      <c r="G12" s="245">
        <f>VLOOKUP(G9,Inputs!$J$47:$L$51, 3,FALSE)</f>
        <v>0</v>
      </c>
      <c r="H12" s="164"/>
      <c r="I12" s="179" t="s">
        <v>279</v>
      </c>
      <c r="J12" s="181" t="e">
        <f>IF(Inputs!$N$3=6,M12,IF(Inputs!$N$3=5,L12,IF(Inputs!$N$3=4,K12,"")))</f>
        <v>#DIV/0!</v>
      </c>
      <c r="K12" s="172" t="e">
        <f>SUM(B26:E26)</f>
        <v>#DIV/0!</v>
      </c>
      <c r="L12" s="172" t="e">
        <f>SUM(B26:F26)</f>
        <v>#DIV/0!</v>
      </c>
      <c r="M12" s="172" t="e">
        <f>SUM(B26:G26)</f>
        <v>#DIV/0!</v>
      </c>
      <c r="N12" s="15"/>
    </row>
    <row r="13" spans="1:14" s="61" customFormat="1" ht="20" customHeight="1">
      <c r="A13" s="182" t="s">
        <v>86</v>
      </c>
      <c r="B13" s="167">
        <f>IF(Inputs!$BR$7&gt;Inputs!$BR$6,Inputs!$BM$7*CalculationsCurrent!B9^3+Inputs!$BN$7*CalculationsCurrent!B9^2+Inputs!$BO$7*CalculationsCurrent!B9+Inputs!$BP$7,IF(Inputs!$BR$6&gt;Inputs!$BR$5,Inputs!$BM$6*CalculationsCurrent!B9^2+Inputs!$BN$6*CalculationsCurrent!B9+Inputs!$BO$6,IF(Inputs!$BR$5&gt;Inputs!$BR$7,Inputs!$BM$5*CalculationsCurrent!B9+Inputs!$BN$5,0)))</f>
        <v>0</v>
      </c>
      <c r="C13" s="167">
        <f>IF(Inputs!$BR$10&gt;Inputs!$BR$9,Inputs!$BM$10*CalculationsCurrent!C9^3+Inputs!$BN$10*CalculationsCurrent!C9^2+Inputs!$BO$10*CalculationsCurrent!C9+Inputs!$BP$10,IF(Inputs!$BR$6&gt;Inputs!$BR$9,Inputs!$BM$8*CalculationsCurrent!C9^2+Inputs!$BN$9*CalculationsCurrent!C9+Inputs!$BO$9,IF(Inputs!$BR$9&gt;Inputs!$BR$7,Inputs!$BM$10*CalculationsCurrent!C9+Inputs!$BN$10,0)))</f>
        <v>0</v>
      </c>
      <c r="D13" s="167">
        <f>IF(Inputs!$BR$13&gt;Inputs!$BR$12,Inputs!$BM$13*CalculationsCurrent!D9^3+Inputs!$BN$13*CalculationsCurrent!D9^2+Inputs!$BO$13*CalculationsCurrent!D9+Inputs!$BP$13,IF(Inputs!$BR$12&gt;Inputs!$BR$11,Inputs!$BM$12*CalculationsCurrent!D9^2+Inputs!$BN$12*CalculationsCurrent!D9+Inputs!$BO$12,IF(Inputs!$BR$11&gt;Inputs!$BR$13,Inputs!$BM$5*CalculationsCurrent!D9+Inputs!$BN$11,0)))</f>
        <v>0</v>
      </c>
      <c r="E13" s="167">
        <f>IF(Inputs!$BR$17&gt;Inputs!$BR$16,Inputs!$BM$17*CalculationsCurrent!E9^3+Inputs!$BN$17*CalculationsCurrent!E9^2+Inputs!$BO$17*CalculationsCurrent!E9+Inputs!$BP$17,IF(Inputs!$BR$16&gt;Inputs!$BR$14,Inputs!$BM$16*CalculationsCurrent!E9^2+Inputs!$BN$16*CalculationsCurrent!E9+Inputs!$BO$16,IF(Inputs!$BR$14&gt;Inputs!$BR$17,Inputs!$BM$14*CalculationsCurrent!E9+Inputs!$BN$14,0)))</f>
        <v>0</v>
      </c>
      <c r="F13" s="297">
        <f>IF(Inputs!$BR$20&gt;Inputs!$BR$19,Inputs!$BM$20*CalculationsCurrent!F9^3+Inputs!$BN$20*CalculationsCurrent!F9^2+Inputs!$BO$20*CalculationsCurrent!F9+Inputs!$BP$20,IF(Inputs!$BR$19&gt;Inputs!$BR$18,Inputs!$BM$19*CalculationsCurrent!F9^2+Inputs!$BN$19*CalculationsCurrent!F9+Inputs!$BO$19,IF(Inputs!$BR$18&gt;Inputs!$BR$20,Inputs!$BM$18*CalculationsCurrent!F9+Inputs!$BN$18,0)))</f>
        <v>0</v>
      </c>
      <c r="G13" s="297">
        <f>IF(Inputs!$BR$23&gt;Inputs!$BR$22,Inputs!$BM$23*CalculationsCurrent!G9^3+Inputs!$BN$23*CalculationsCurrent!G9^2+Inputs!$BO$23*CalculationsCurrent!G9+Inputs!$BP$23,IF(Inputs!$BR$22&gt;Inputs!$BR$21,Inputs!$BM$22*CalculationsCurrent!G9^2+Inputs!$BN$22*CalculationsCurrent!G9+Inputs!$BO$22,IF(Inputs!$BR$21&gt;Inputs!$BR$23,Inputs!$BM$21*CalculationsCurrent!G9+Inputs!$BN$21,0)))</f>
        <v>0</v>
      </c>
      <c r="H13" s="165"/>
      <c r="I13" s="179" t="s">
        <v>39</v>
      </c>
      <c r="J13" s="180" t="e">
        <f>IF(Inputs!$N$3=6,M13,IF(Inputs!$N$3=5,L13,IF(Inputs!$N$3=4,K13,"")))</f>
        <v>#DIV/0!</v>
      </c>
      <c r="K13" s="172" t="e">
        <f>SUM(B23:E23)</f>
        <v>#DIV/0!</v>
      </c>
      <c r="L13" s="172" t="e">
        <f>SUM(B23:F23)</f>
        <v>#DIV/0!</v>
      </c>
      <c r="M13" s="172" t="e">
        <f>SUM(B23:G23)</f>
        <v>#DIV/0!</v>
      </c>
      <c r="N13" s="79"/>
    </row>
    <row r="14" spans="1:14" ht="20" customHeight="1">
      <c r="A14" s="178"/>
      <c r="B14" s="209"/>
      <c r="C14" s="209"/>
      <c r="D14" s="209"/>
      <c r="E14" s="209"/>
      <c r="F14" s="380"/>
      <c r="G14" s="380"/>
      <c r="H14" s="164"/>
      <c r="I14" s="179" t="s">
        <v>40</v>
      </c>
      <c r="J14" s="180" t="e">
        <f>IF(Inputs!$N$3=6,M14,IF(Inputs!$N$3=5,L14,IF(Inputs!$N$3=4,K14,"")))</f>
        <v>#DIV/0!</v>
      </c>
      <c r="K14" s="172" t="e">
        <f>(SUM(B23:E23))+SUM(B22:E22)*Inputs!$G$6</f>
        <v>#DIV/0!</v>
      </c>
      <c r="L14" s="172" t="e">
        <f>(SUM(B23:F23))+SUM(B22:F22)*Inputs!$G$6</f>
        <v>#DIV/0!</v>
      </c>
      <c r="M14" s="172" t="e">
        <f>(SUM(B23:G23))+SUM(B22:G22)*Inputs!$G$6</f>
        <v>#DIV/0!</v>
      </c>
      <c r="N14" s="15"/>
    </row>
    <row r="15" spans="1:14" ht="20" customHeight="1">
      <c r="A15" s="178" t="s">
        <v>298</v>
      </c>
      <c r="B15" s="209">
        <f t="shared" ref="B15:G15" si="3">B16/2.2046</f>
        <v>0</v>
      </c>
      <c r="C15" s="209">
        <f t="shared" si="3"/>
        <v>0</v>
      </c>
      <c r="D15" s="209">
        <f t="shared" si="3"/>
        <v>0</v>
      </c>
      <c r="E15" s="209">
        <f t="shared" si="3"/>
        <v>0</v>
      </c>
      <c r="F15" s="209">
        <f t="shared" si="3"/>
        <v>0</v>
      </c>
      <c r="G15" s="209">
        <f t="shared" si="3"/>
        <v>0</v>
      </c>
      <c r="H15" s="164"/>
      <c r="I15" s="200" t="s">
        <v>142</v>
      </c>
      <c r="J15" s="180" t="e">
        <f>IF(Inputs!$N$3=6,M15,IF(Inputs!$N$3=5,L15,IF(Inputs!$N$3=4,K15,"")))</f>
        <v>#DIV/0!</v>
      </c>
      <c r="K15" s="172" t="e">
        <f>IF(Inputs!$H$13=1,((SUM($B$24:$E$24))+Inputs!$K$7/2.2046)*Inputs!$G$3*2.2046,((SUM($B$24:$E$24))+Inputs!$K$7/2.2046)*(Inputs!$G$9/100)*(Inputs!$G$4*2.2046))</f>
        <v>#DIV/0!</v>
      </c>
      <c r="L15" s="172" t="e">
        <f>IF(Inputs!$H$13=1,((SUM($B$24:$F$24))+Inputs!$K$7/2.2046)*Inputs!$G$3*2.2046,((SUM($B$24:$F$24))+Inputs!$K$7/2.2046)*(Inputs!$G$9/100)*(Inputs!$G$4*2.2046))</f>
        <v>#DIV/0!</v>
      </c>
      <c r="M15" s="172" t="e">
        <f>IF(Inputs!$H$13=1,((SUM($B$24:$G$24))+Inputs!$K$7/2.2046)*Inputs!$G$3*2.2046,((SUM($B$24:$G$24))+Inputs!$K$7/2.2046)*(Inputs!$G$9/100)*(Inputs!$G$4*2.2046))</f>
        <v>#DIV/0!</v>
      </c>
      <c r="N15" s="15"/>
    </row>
    <row r="16" spans="1:14" ht="20" hidden="1" customHeight="1">
      <c r="A16" s="178" t="s">
        <v>77</v>
      </c>
      <c r="B16" s="193">
        <f t="shared" ref="B16:G16" si="4">AVERAGE(B5:B6)</f>
        <v>0</v>
      </c>
      <c r="C16" s="193">
        <f t="shared" si="4"/>
        <v>0</v>
      </c>
      <c r="D16" s="193">
        <f t="shared" si="4"/>
        <v>0</v>
      </c>
      <c r="E16" s="193">
        <f t="shared" si="4"/>
        <v>0</v>
      </c>
      <c r="F16" s="168">
        <f t="shared" si="4"/>
        <v>0</v>
      </c>
      <c r="G16" s="168">
        <f t="shared" si="4"/>
        <v>0</v>
      </c>
      <c r="H16" s="168"/>
      <c r="N16" s="65"/>
    </row>
    <row r="17" spans="1:14" ht="20" customHeight="1">
      <c r="A17" s="178" t="s">
        <v>152</v>
      </c>
      <c r="B17" s="193">
        <f>IF(Inputs!$H$15=1,(((GrowthCurveAdjustments!$J$3*CalculationsCurrent!B16^3+GrowthCurveAdjustments!$K$3*CalculationsCurrent!B16^2+GrowthCurveAdjustments!$L$3*CalculationsCurrent!B16+GrowthCurveAdjustments!$M$3)/2.2046)*1000),((Inputs!P7/2.2046)*1000))</f>
        <v>0</v>
      </c>
      <c r="C17" s="193">
        <f>IF(Inputs!$H$15=1,(((GrowthCurveAdjustments!$J$3*CalculationsCurrent!C16^3+GrowthCurveAdjustments!$K$3*CalculationsCurrent!C16^2+GrowthCurveAdjustments!$L$3*CalculationsCurrent!C16+GrowthCurveAdjustments!$M$3)/2.2046)*1000),((Inputs!P8/2.2046)*1000))</f>
        <v>0</v>
      </c>
      <c r="D17" s="193">
        <f>IF(Inputs!$H$15=1,(((GrowthCurveAdjustments!$J$3*CalculationsCurrent!D16^3+GrowthCurveAdjustments!$K$3*CalculationsCurrent!D16^2+GrowthCurveAdjustments!$L$3*CalculationsCurrent!D16+GrowthCurveAdjustments!$M$3)/2.2046)*1000),((Inputs!P9/2.2046)*1000))</f>
        <v>0</v>
      </c>
      <c r="E17" s="193">
        <f>IF(Inputs!$H$15=1,(((GrowthCurveAdjustments!$J$3*CalculationsCurrent!E16^3+GrowthCurveAdjustments!$K$3*CalculationsCurrent!E16^2+GrowthCurveAdjustments!$L$3*CalculationsCurrent!E16+GrowthCurveAdjustments!$M$3)/2.2046)*1000),((Inputs!P10/2.2046)*1000))</f>
        <v>0</v>
      </c>
      <c r="F17" s="168">
        <f>IF(Inputs!$H$15=1,(((GrowthCurveAdjustments!$J$3*CalculationsCurrent!F16^3+GrowthCurveAdjustments!$K$3*CalculationsCurrent!F16^2+GrowthCurveAdjustments!$L$3*CalculationsCurrent!F16+GrowthCurveAdjustments!$M$3)/2.2046)*1000),((Inputs!P11/2.2046)*1000))</f>
        <v>0</v>
      </c>
      <c r="G17" s="168">
        <f>IF(Inputs!$H$15=1,(((GrowthCurveAdjustments!$J$3*CalculationsCurrent!G16^3+GrowthCurveAdjustments!$K$3*CalculationsCurrent!G16^2+GrowthCurveAdjustments!$L$3*CalculationsCurrent!G16+GrowthCurveAdjustments!$M$3)/2.2046)*1000),((Inputs!P12/2.2046)*1000))</f>
        <v>0</v>
      </c>
      <c r="H17" s="168"/>
      <c r="I17" s="200" t="s">
        <v>37</v>
      </c>
      <c r="J17" s="180" t="e">
        <f>IF(Inputs!$N$3=6,M17,IF(Inputs!$N$3=5,L17,IF(Inputs!$N$3=4,K17,"")))</f>
        <v>#DIV/0!</v>
      </c>
      <c r="K17" s="149" t="e">
        <f>$K$15-$K$13</f>
        <v>#DIV/0!</v>
      </c>
      <c r="L17" s="149" t="e">
        <f>$L$15-$L$13</f>
        <v>#DIV/0!</v>
      </c>
      <c r="M17" s="149" t="e">
        <f>$M$15-$M$13</f>
        <v>#DIV/0!</v>
      </c>
    </row>
    <row r="18" spans="1:14" ht="20" customHeight="1">
      <c r="A18" s="178"/>
      <c r="B18" s="193"/>
      <c r="C18" s="193"/>
      <c r="D18" s="193"/>
      <c r="E18" s="193"/>
      <c r="F18" s="168"/>
      <c r="G18" s="168"/>
      <c r="H18" s="168"/>
      <c r="I18" s="200" t="s">
        <v>140</v>
      </c>
      <c r="J18" s="180" t="e">
        <f>IF(Inputs!$N$3=6,M18,IF(Inputs!$N$3=5,L18,IF(Inputs!$N$3=4,K18,"")))</f>
        <v>#DIV/0!</v>
      </c>
      <c r="K18" s="149" t="e">
        <f>(((SUM($B$24:$E$24)+Inputs!$K$7/2.2046)*(Inputs!$G$3*2.2046))-$K$14)</f>
        <v>#DIV/0!</v>
      </c>
      <c r="L18" s="149" t="e">
        <f>(((SUM($B$24:$F$24)+Inputs!$K$7/2.2046)*(Inputs!$G$3*2.2046))-$L$14)</f>
        <v>#DIV/0!</v>
      </c>
      <c r="M18" s="149" t="e">
        <f>(((SUM($B$24:$G$24)+Inputs!$K$7/2.2046)*(Inputs!$G$3*2.2046))-$M$14)</f>
        <v>#DIV/0!</v>
      </c>
    </row>
    <row r="19" spans="1:14" ht="20" customHeight="1">
      <c r="A19" s="178" t="s">
        <v>197</v>
      </c>
      <c r="B19" s="189" t="e">
        <f>IF(Inputs!$H$15=1,1/(GrowthCurveAdjustments!$J$4*CalculationsCurrent!B16^3+GrowthCurveAdjustments!$K$4*CalculationsCurrent!B16^2+GrowthCurveAdjustments!$L$4*CalculationsCurrent!B16+GrowthCurveAdjustments!$M$4),(1/Inputs!Q7))</f>
        <v>#DIV/0!</v>
      </c>
      <c r="C19" s="189" t="e">
        <f>IF(Inputs!$H$15=1,1/(GrowthCurveAdjustments!$J$4*CalculationsCurrent!C16^3+GrowthCurveAdjustments!$K$4*CalculationsCurrent!C16^2+GrowthCurveAdjustments!$L$4*CalculationsCurrent!C16+GrowthCurveAdjustments!$M$4),(1/Inputs!Q8))</f>
        <v>#DIV/0!</v>
      </c>
      <c r="D19" s="189" t="e">
        <f>IF(Inputs!$H$15=1,1/(GrowthCurveAdjustments!$J$4*CalculationsCurrent!D16^3+GrowthCurveAdjustments!$K$4*CalculationsCurrent!D16^2+GrowthCurveAdjustments!$L$4*CalculationsCurrent!D16+GrowthCurveAdjustments!$M$4),(1/Inputs!Q9))</f>
        <v>#DIV/0!</v>
      </c>
      <c r="E19" s="189" t="e">
        <f>IF(Inputs!$H$15=1,1/(GrowthCurveAdjustments!$J$4*CalculationsCurrent!E16^3+GrowthCurveAdjustments!$K$4*CalculationsCurrent!E16^2+GrowthCurveAdjustments!$L$4*CalculationsCurrent!E16+GrowthCurveAdjustments!$M$4),(1/Inputs!Q10))</f>
        <v>#DIV/0!</v>
      </c>
      <c r="F19" s="151" t="e">
        <f>IF(Inputs!$H$15=1,1/(GrowthCurveAdjustments!$J$4*CalculationsCurrent!F16^3+GrowthCurveAdjustments!$K$4*CalculationsCurrent!F16^2+GrowthCurveAdjustments!$L$4*CalculationsCurrent!F16+GrowthCurveAdjustments!$M$4),(1/Inputs!Q11))</f>
        <v>#DIV/0!</v>
      </c>
      <c r="G19" s="151" t="e">
        <f>IF(Inputs!$H$15=1,1/(GrowthCurveAdjustments!$J$4*CalculationsCurrent!G16^3+GrowthCurveAdjustments!$K$4*CalculationsCurrent!G16^2+GrowthCurveAdjustments!$L$4*CalculationsCurrent!G16+GrowthCurveAdjustments!$M$4),(1/Inputs!Q12))</f>
        <v>#DIV/0!</v>
      </c>
      <c r="H19" s="168"/>
      <c r="I19" s="200" t="s">
        <v>141</v>
      </c>
      <c r="J19" s="180" t="e">
        <f>IF(Inputs!$N$3=6,M19,IF(Inputs!$N$3=5,L19,IF(Inputs!$N$3=4,K19,"")))</f>
        <v>#DIV/0!</v>
      </c>
      <c r="K19" s="149" t="e">
        <f>(((SUM($B$24:$E$24)+Inputs!$K$7/2.2046)*($E$31/100)*(Inputs!$G$4*2.2046)-$K$14))</f>
        <v>#DIV/0!</v>
      </c>
      <c r="L19" s="149" t="e">
        <f>(((SUM($B$24:$F$24)+Inputs!$K$7/2.2046)*($F$31/100)*(Inputs!$G$4*2.2046)-$L$14))</f>
        <v>#DIV/0!</v>
      </c>
      <c r="M19" s="149" t="e">
        <f>(((SUM($B$24:$G$24)+Inputs!$K$7/2.2046)*($G$31/100)*(Inputs!$G$4*2.2046)-$M$14))</f>
        <v>#DIV/0!</v>
      </c>
    </row>
    <row r="20" spans="1:14" ht="20" customHeight="1">
      <c r="A20" s="178"/>
      <c r="F20" s="229"/>
      <c r="G20" s="229"/>
      <c r="H20" s="168"/>
      <c r="I20" s="200" t="s">
        <v>143</v>
      </c>
      <c r="J20" s="180" t="e">
        <f>IF(Inputs!$N$3=6,M20,IF(Inputs!$N$3=5,L20,IF(Inputs!$N$3=4,K20,"")))</f>
        <v>#DIV/0!</v>
      </c>
      <c r="K20" s="149" t="e">
        <f>(((SUM($B$24:$E$24)+Inputs!$K$7/2.2046)*(Inputs!$G$3*2.2046))-$K$14)-(Inputs!$G$5+Inputs!$G$10)</f>
        <v>#DIV/0!</v>
      </c>
      <c r="L20" s="149" t="e">
        <f>(((SUM($B$24:$F$24)+Inputs!$K$7/2.2046)*(Inputs!$G$3*2.2046))-$L$14)-(Inputs!$G$5+Inputs!$G$10)</f>
        <v>#DIV/0!</v>
      </c>
      <c r="M20" s="149" t="e">
        <f>(((SUM($B$24:$G$24)+Inputs!$K$7/2.2046)*(Inputs!$G$3*2.2046))-$M$14)-(Inputs!$G$5+Inputs!$G$10)</f>
        <v>#DIV/0!</v>
      </c>
    </row>
    <row r="21" spans="1:14" ht="20" customHeight="1">
      <c r="A21" s="178" t="s">
        <v>75</v>
      </c>
      <c r="B21" s="170" t="e">
        <f>B17/B19</f>
        <v>#DIV/0!</v>
      </c>
      <c r="C21" s="170" t="e">
        <f>C17/C19</f>
        <v>#DIV/0!</v>
      </c>
      <c r="D21" s="170" t="e">
        <f t="shared" ref="D21:G21" si="5">D17/D19</f>
        <v>#DIV/0!</v>
      </c>
      <c r="E21" s="170" t="e">
        <f t="shared" si="5"/>
        <v>#DIV/0!</v>
      </c>
      <c r="F21" s="379" t="e">
        <f t="shared" si="5"/>
        <v>#DIV/0!</v>
      </c>
      <c r="G21" s="379" t="e">
        <f t="shared" si="5"/>
        <v>#DIV/0!</v>
      </c>
      <c r="H21" s="168"/>
      <c r="I21" s="200" t="s">
        <v>144</v>
      </c>
      <c r="J21" s="180" t="e">
        <f>IF(Inputs!$N$3=6,M21,IF(Inputs!$N$3=5,L21,IF(Inputs!$N$3=4,K21,"")))</f>
        <v>#DIV/0!</v>
      </c>
      <c r="K21" s="149" t="e">
        <f>(((SUM($B$24:$E$24)+Inputs!$K$7/2.2046)*($E$31/100)*(Inputs!$G$4*2.2046)-$K$14)-(Inputs!$G$5+Inputs!$G$10))</f>
        <v>#DIV/0!</v>
      </c>
      <c r="L21" s="149" t="e">
        <f>(((SUM($B$24:$F$24)+Inputs!$K$7/2.2046)*($F$31/100)*(Inputs!$G$4*2.2046)-$L$14)-(Inputs!$G$5+Inputs!$G$10))</f>
        <v>#DIV/0!</v>
      </c>
      <c r="M21" s="149" t="e">
        <f>(((SUM($B$24:$G$24)+Inputs!$K$7/2.2046)*($G$31/100)*(Inputs!$G$4*2.2046)-$M$14)-(Inputs!$G$5+Inputs!$G$10))</f>
        <v>#DIV/0!</v>
      </c>
    </row>
    <row r="22" spans="1:14" ht="20" customHeight="1">
      <c r="A22" s="178" t="s">
        <v>14</v>
      </c>
      <c r="B22" s="163" t="e">
        <f>((B6-B5)/2.2046)/(B17/1000)</f>
        <v>#DIV/0!</v>
      </c>
      <c r="C22" s="163" t="e">
        <f>((C6-C5)/2.2046)/(C17/1000)</f>
        <v>#DIV/0!</v>
      </c>
      <c r="D22" s="163" t="e">
        <f t="shared" ref="D22:G22" si="6">((D6-D5)/2.2046)/(D17/1000)</f>
        <v>#DIV/0!</v>
      </c>
      <c r="E22" s="163" t="e">
        <f t="shared" si="6"/>
        <v>#DIV/0!</v>
      </c>
      <c r="F22" s="171" t="e">
        <f t="shared" si="6"/>
        <v>#DIV/0!</v>
      </c>
      <c r="G22" s="171" t="e">
        <f t="shared" si="6"/>
        <v>#DIV/0!</v>
      </c>
      <c r="H22" s="168"/>
      <c r="I22" s="179"/>
      <c r="J22" s="180"/>
      <c r="K22" s="150"/>
      <c r="L22" s="150"/>
      <c r="M22" s="150"/>
    </row>
    <row r="23" spans="1:14" ht="20" customHeight="1">
      <c r="A23" s="178" t="s">
        <v>17</v>
      </c>
      <c r="B23" s="172" t="e">
        <f t="shared" ref="B23:G23" si="7">(B22*(B21/1000)*(B11/1000))</f>
        <v>#DIV/0!</v>
      </c>
      <c r="C23" s="172" t="e">
        <f t="shared" si="7"/>
        <v>#DIV/0!</v>
      </c>
      <c r="D23" s="172" t="e">
        <f t="shared" si="7"/>
        <v>#DIV/0!</v>
      </c>
      <c r="E23" s="172" t="e">
        <f t="shared" si="7"/>
        <v>#DIV/0!</v>
      </c>
      <c r="F23" s="172" t="e">
        <f t="shared" si="7"/>
        <v>#DIV/0!</v>
      </c>
      <c r="G23" s="172" t="e">
        <f t="shared" si="7"/>
        <v>#DIV/0!</v>
      </c>
      <c r="H23" s="168"/>
      <c r="I23" s="169"/>
      <c r="J23" s="169"/>
      <c r="K23" s="169"/>
      <c r="L23" s="169"/>
      <c r="M23" s="183"/>
    </row>
    <row r="24" spans="1:14" ht="20" customHeight="1">
      <c r="A24" s="178" t="s">
        <v>289</v>
      </c>
      <c r="B24" s="163" t="e">
        <f t="shared" ref="B24:G24" si="8">B17/1000*B22</f>
        <v>#DIV/0!</v>
      </c>
      <c r="C24" s="163" t="e">
        <f t="shared" si="8"/>
        <v>#DIV/0!</v>
      </c>
      <c r="D24" s="163" t="e">
        <f t="shared" si="8"/>
        <v>#DIV/0!</v>
      </c>
      <c r="E24" s="163" t="e">
        <f t="shared" si="8"/>
        <v>#DIV/0!</v>
      </c>
      <c r="F24" s="171" t="e">
        <f t="shared" si="8"/>
        <v>#DIV/0!</v>
      </c>
      <c r="G24" s="171" t="e">
        <f t="shared" si="8"/>
        <v>#DIV/0!</v>
      </c>
      <c r="H24" s="151"/>
      <c r="I24" s="169"/>
      <c r="J24" s="224"/>
      <c r="K24" s="169"/>
      <c r="L24" s="169"/>
      <c r="M24" s="183"/>
    </row>
    <row r="25" spans="1:14" ht="20" customHeight="1">
      <c r="A25" s="178" t="s">
        <v>291</v>
      </c>
      <c r="B25" s="172" t="e">
        <f t="shared" ref="B25:G25" si="9">B11/1000*(1/B19)</f>
        <v>#DIV/0!</v>
      </c>
      <c r="C25" s="172" t="e">
        <f t="shared" si="9"/>
        <v>#DIV/0!</v>
      </c>
      <c r="D25" s="172" t="e">
        <f t="shared" si="9"/>
        <v>#DIV/0!</v>
      </c>
      <c r="E25" s="172" t="e">
        <f t="shared" si="9"/>
        <v>#DIV/0!</v>
      </c>
      <c r="F25" s="149" t="e">
        <f t="shared" si="9"/>
        <v>#DIV/0!</v>
      </c>
      <c r="G25" s="149" t="e">
        <f t="shared" si="9"/>
        <v>#DIV/0!</v>
      </c>
      <c r="H25" s="151"/>
      <c r="I25" s="177"/>
      <c r="J25" s="225"/>
      <c r="K25" s="184"/>
      <c r="L25" s="185"/>
      <c r="M25" s="183"/>
    </row>
    <row r="26" spans="1:14" ht="20" customHeight="1">
      <c r="A26" s="178" t="s">
        <v>292</v>
      </c>
      <c r="B26" s="172" t="e">
        <f t="shared" ref="B26:G26" si="10">(B21/1000)*B22</f>
        <v>#DIV/0!</v>
      </c>
      <c r="C26" s="172" t="e">
        <f t="shared" si="10"/>
        <v>#DIV/0!</v>
      </c>
      <c r="D26" s="172" t="e">
        <f t="shared" si="10"/>
        <v>#DIV/0!</v>
      </c>
      <c r="E26" s="172" t="e">
        <f t="shared" si="10"/>
        <v>#DIV/0!</v>
      </c>
      <c r="F26" s="172" t="e">
        <f t="shared" si="10"/>
        <v>#DIV/0!</v>
      </c>
      <c r="G26" s="172" t="e">
        <f t="shared" si="10"/>
        <v>#DIV/0!</v>
      </c>
      <c r="H26" s="170"/>
      <c r="I26" s="193"/>
      <c r="J26" s="193"/>
      <c r="K26" s="193"/>
      <c r="L26" s="193"/>
      <c r="M26" s="193"/>
      <c r="N26" s="193"/>
    </row>
    <row r="27" spans="1:14" ht="20" customHeight="1">
      <c r="A27" s="178" t="s">
        <v>18</v>
      </c>
      <c r="B27" s="172" t="e">
        <f>B23+(B22*Inputs!$G$6)</f>
        <v>#DIV/0!</v>
      </c>
      <c r="C27" s="172" t="e">
        <f>C23+(C22*Inputs!$G$6)</f>
        <v>#DIV/0!</v>
      </c>
      <c r="D27" s="172" t="e">
        <f>D23+(D22*Inputs!$G$6)</f>
        <v>#DIV/0!</v>
      </c>
      <c r="E27" s="172" t="e">
        <f>E23+(E22*Inputs!$G$6)</f>
        <v>#DIV/0!</v>
      </c>
      <c r="F27" s="149" t="e">
        <f>F23+(F22*Inputs!$G$6)</f>
        <v>#DIV/0!</v>
      </c>
      <c r="G27" s="149" t="e">
        <f>G23+(G22*Inputs!$G$6)</f>
        <v>#DIV/0!</v>
      </c>
      <c r="H27" s="168"/>
      <c r="I27" s="179"/>
      <c r="J27" s="174"/>
      <c r="K27" s="187"/>
      <c r="L27" s="187"/>
      <c r="M27" s="187"/>
    </row>
    <row r="28" spans="1:14" ht="20" customHeight="1">
      <c r="A28" s="178" t="s">
        <v>19</v>
      </c>
      <c r="B28" s="172" t="e">
        <f>IF(Inputs!$H$13=1,B24*Inputs!$G$3*2.2046,B24*(Inputs!$G$9/100)*Inputs!$G$4*2.2046)</f>
        <v>#DIV/0!</v>
      </c>
      <c r="C28" s="172" t="e">
        <f>IF(Inputs!$H$13=1,C24*Inputs!$G$3*2.2046,C24*(Inputs!$G$9/100)*Inputs!$G$4*2.2046)</f>
        <v>#DIV/0!</v>
      </c>
      <c r="D28" s="172" t="e">
        <f>IF(Inputs!$H$13=1,D24*Inputs!$G$3*2.2046,D24*(Inputs!$G$9/100)*Inputs!$G$4*2.2046)</f>
        <v>#DIV/0!</v>
      </c>
      <c r="E28" s="172" t="e">
        <f>IF(Inputs!$H$13=1,E24*Inputs!$G$3*2.2046,E24*(Inputs!$G$9/100)*Inputs!$G$4*2.2046)</f>
        <v>#DIV/0!</v>
      </c>
      <c r="F28" s="149" t="e">
        <f>IF(Inputs!$H$13=1,F24*Inputs!$G$3*2.2046,F24*(Inputs!$G$9/100)*Inputs!$G$4*2.2046)</f>
        <v>#DIV/0!</v>
      </c>
      <c r="G28" s="149" t="e">
        <f>IF(Inputs!$H$13=1,G24*Inputs!$G$3*2.2046,G24*(Inputs!$G$9/100)*Inputs!$G$4*2.2046)</f>
        <v>#DIV/0!</v>
      </c>
      <c r="H28" s="172"/>
      <c r="I28" s="179"/>
      <c r="J28" s="174"/>
      <c r="K28" s="174"/>
      <c r="L28" s="186"/>
      <c r="M28" s="188"/>
    </row>
    <row r="29" spans="1:14" ht="20" customHeight="1">
      <c r="A29" s="178" t="s">
        <v>35</v>
      </c>
      <c r="B29" s="172" t="e">
        <f>B28-B23</f>
        <v>#DIV/0!</v>
      </c>
      <c r="C29" s="172" t="e">
        <f t="shared" ref="C29:G29" si="11">C28-C23</f>
        <v>#DIV/0!</v>
      </c>
      <c r="D29" s="172" t="e">
        <f t="shared" si="11"/>
        <v>#DIV/0!</v>
      </c>
      <c r="E29" s="172" t="e">
        <f t="shared" si="11"/>
        <v>#DIV/0!</v>
      </c>
      <c r="F29" s="149" t="e">
        <f t="shared" si="11"/>
        <v>#DIV/0!</v>
      </c>
      <c r="G29" s="149" t="e">
        <f t="shared" si="11"/>
        <v>#DIV/0!</v>
      </c>
      <c r="H29" s="163"/>
      <c r="I29" s="179"/>
      <c r="J29" s="174"/>
      <c r="K29" s="174"/>
      <c r="L29" s="186"/>
      <c r="M29" s="174"/>
    </row>
    <row r="30" spans="1:14" ht="20" customHeight="1">
      <c r="A30" s="178" t="s">
        <v>36</v>
      </c>
      <c r="B30" s="172" t="e">
        <f>B28-B27</f>
        <v>#DIV/0!</v>
      </c>
      <c r="C30" s="172" t="e">
        <f t="shared" ref="C30:G30" si="12">C28-C27</f>
        <v>#DIV/0!</v>
      </c>
      <c r="D30" s="172" t="e">
        <f t="shared" si="12"/>
        <v>#DIV/0!</v>
      </c>
      <c r="E30" s="172" t="e">
        <f t="shared" si="12"/>
        <v>#DIV/0!</v>
      </c>
      <c r="F30" s="149" t="e">
        <f t="shared" si="12"/>
        <v>#DIV/0!</v>
      </c>
      <c r="G30" s="149" t="e">
        <f t="shared" si="12"/>
        <v>#DIV/0!</v>
      </c>
      <c r="H30" s="189"/>
      <c r="I30" s="184"/>
      <c r="J30" s="190"/>
      <c r="K30" s="190"/>
      <c r="L30" s="186"/>
      <c r="M30" s="174"/>
    </row>
    <row r="31" spans="1:14" ht="20" customHeight="1">
      <c r="A31" s="178" t="s">
        <v>126</v>
      </c>
      <c r="B31" s="163"/>
      <c r="C31" s="163"/>
      <c r="D31" s="163"/>
      <c r="E31" s="163">
        <f>Inputs!$G$9</f>
        <v>0</v>
      </c>
      <c r="F31" s="171">
        <f>Inputs!$G$9</f>
        <v>0</v>
      </c>
      <c r="G31" s="171">
        <f>Inputs!$G$9</f>
        <v>0</v>
      </c>
      <c r="H31" s="172"/>
      <c r="I31" s="191"/>
      <c r="J31" s="174"/>
      <c r="K31" s="174"/>
      <c r="L31" s="186"/>
      <c r="M31" s="174"/>
    </row>
    <row r="32" spans="1:14" ht="20" customHeight="1">
      <c r="A32" s="175"/>
      <c r="B32" s="175"/>
      <c r="C32" s="175"/>
      <c r="D32" s="175"/>
      <c r="E32" s="174"/>
      <c r="F32" s="174"/>
      <c r="G32" s="174"/>
      <c r="H32" s="172"/>
      <c r="I32" s="191"/>
      <c r="J32" s="174"/>
      <c r="K32" s="174"/>
      <c r="L32" s="186"/>
      <c r="M32" s="174"/>
    </row>
    <row r="33" spans="1:14" ht="20" customHeight="1">
      <c r="H33" s="172"/>
      <c r="I33" s="192"/>
      <c r="J33" s="174"/>
      <c r="K33" s="174"/>
      <c r="L33" s="186"/>
      <c r="M33" s="174"/>
    </row>
    <row r="34" spans="1:14" ht="20" customHeight="1">
      <c r="A34" s="194"/>
      <c r="B34" s="194"/>
      <c r="C34" s="194"/>
      <c r="D34" s="194"/>
      <c r="E34" s="194"/>
      <c r="F34" s="194"/>
      <c r="G34" s="194"/>
      <c r="H34" s="172"/>
      <c r="I34" s="191"/>
      <c r="J34" s="174"/>
      <c r="K34" s="174"/>
      <c r="L34" s="186"/>
      <c r="M34" s="174"/>
    </row>
    <row r="35" spans="1:14" ht="20" customHeight="1">
      <c r="H35" s="17"/>
    </row>
    <row r="36" spans="1:14" ht="20" hidden="1" customHeight="1">
      <c r="A36" s="17"/>
      <c r="B36" s="17"/>
      <c r="C36" s="123" t="s">
        <v>42</v>
      </c>
      <c r="D36" s="123" t="s">
        <v>43</v>
      </c>
      <c r="E36" s="19"/>
      <c r="F36" s="17"/>
      <c r="G36" s="17"/>
      <c r="H36" s="17"/>
    </row>
    <row r="37" spans="1:14" ht="20" hidden="1" customHeight="1">
      <c r="A37" s="17"/>
      <c r="B37" s="123" t="s">
        <v>21</v>
      </c>
      <c r="C37" s="44">
        <f>Inputs!N7</f>
        <v>0</v>
      </c>
      <c r="D37" s="44">
        <f>Inputs!O7</f>
        <v>0</v>
      </c>
      <c r="E37" s="11"/>
      <c r="F37" s="17"/>
      <c r="G37" s="17"/>
      <c r="H37" s="17"/>
    </row>
    <row r="38" spans="1:14" ht="20" hidden="1" customHeight="1">
      <c r="A38" s="17"/>
      <c r="B38" s="123" t="s">
        <v>22</v>
      </c>
      <c r="C38" s="44">
        <f>Inputs!N8</f>
        <v>0</v>
      </c>
      <c r="D38" s="44">
        <f>Inputs!O8</f>
        <v>0</v>
      </c>
      <c r="E38" s="11"/>
      <c r="F38" s="17"/>
      <c r="G38" s="17"/>
      <c r="H38" s="17"/>
    </row>
    <row r="39" spans="1:14" ht="20" hidden="1" customHeight="1">
      <c r="A39" s="17"/>
      <c r="B39" s="123" t="s">
        <v>23</v>
      </c>
      <c r="C39" s="44">
        <f>Inputs!N9</f>
        <v>0</v>
      </c>
      <c r="D39" s="44">
        <f>Inputs!O9</f>
        <v>0</v>
      </c>
      <c r="E39" s="11"/>
      <c r="F39" s="17"/>
      <c r="G39" s="17"/>
      <c r="H39" s="17"/>
    </row>
    <row r="40" spans="1:14" ht="20" hidden="1" customHeight="1">
      <c r="A40" s="17"/>
      <c r="B40" s="123" t="s">
        <v>24</v>
      </c>
      <c r="C40" s="44">
        <f>Inputs!N10</f>
        <v>0</v>
      </c>
      <c r="D40" s="44">
        <f>Inputs!O10</f>
        <v>0</v>
      </c>
      <c r="E40" s="11"/>
      <c r="F40" s="17"/>
      <c r="G40" s="17"/>
      <c r="H40" s="17"/>
    </row>
    <row r="41" spans="1:14" ht="20" hidden="1" customHeight="1">
      <c r="A41" s="17"/>
      <c r="B41" s="123" t="s">
        <v>25</v>
      </c>
      <c r="C41" s="44">
        <f>Inputs!N11</f>
        <v>0</v>
      </c>
      <c r="D41" s="44">
        <f>Inputs!O11</f>
        <v>0</v>
      </c>
      <c r="E41" s="11"/>
      <c r="F41" s="17"/>
      <c r="G41" s="17"/>
      <c r="H41" s="17"/>
    </row>
    <row r="42" spans="1:14" ht="20" hidden="1" customHeight="1">
      <c r="A42" s="17"/>
      <c r="B42" s="123" t="s">
        <v>26</v>
      </c>
      <c r="C42" s="44">
        <f>Inputs!N12</f>
        <v>0</v>
      </c>
      <c r="D42" s="44">
        <f>Inputs!O12</f>
        <v>0</v>
      </c>
      <c r="E42" s="11"/>
      <c r="F42" s="17"/>
      <c r="G42" s="17"/>
      <c r="H42" s="17"/>
    </row>
    <row r="43" spans="1:14" ht="20" customHeight="1">
      <c r="A43" s="17"/>
      <c r="E43" s="44"/>
      <c r="F43" s="17"/>
      <c r="G43" s="17"/>
      <c r="H43" s="17"/>
    </row>
    <row r="44" spans="1:14" s="5" customFormat="1" ht="20" customHeight="1">
      <c r="A44" s="17"/>
      <c r="B44"/>
      <c r="C44"/>
      <c r="D44"/>
      <c r="E44"/>
      <c r="F44"/>
      <c r="G44"/>
      <c r="H44" s="17"/>
      <c r="I44" s="13"/>
      <c r="J44" s="13"/>
      <c r="K44" s="13"/>
      <c r="L44" s="13"/>
      <c r="N44"/>
    </row>
    <row r="45" spans="1:14" s="5" customFormat="1" ht="20" customHeight="1">
      <c r="A45"/>
      <c r="B45"/>
      <c r="C45"/>
      <c r="D45"/>
      <c r="E45"/>
      <c r="F45"/>
      <c r="G45"/>
      <c r="H45"/>
      <c r="I45"/>
      <c r="J45"/>
      <c r="K45"/>
      <c r="L45"/>
      <c r="N45"/>
    </row>
    <row r="46" spans="1:14" s="5" customFormat="1" ht="20" customHeight="1">
      <c r="A46"/>
      <c r="B46"/>
      <c r="C46"/>
      <c r="D46"/>
      <c r="E46"/>
      <c r="F46"/>
      <c r="G46"/>
      <c r="H46"/>
      <c r="I46"/>
      <c r="J46"/>
      <c r="K46"/>
      <c r="L46"/>
      <c r="N46"/>
    </row>
  </sheetData>
  <mergeCells count="4">
    <mergeCell ref="A1:M1"/>
    <mergeCell ref="A2:A4"/>
    <mergeCell ref="B2:G3"/>
    <mergeCell ref="I2:J3"/>
  </mergeCells>
  <pageMargins left="0.7" right="0.7" top="0.75" bottom="0.75" header="0.3" footer="0.3"/>
  <pageSetup scale="32" orientation="portrait"/>
  <ignoredErrors>
    <ignoredError sqref="K12:L12" formula="1"/>
    <ignoredError sqref="G22 G29:G30 G27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A6AB3E90-9BC2-4503-B662-D69C90602FBF}">
            <xm:f>Inputs!$N$3=5</xm:f>
            <x14:dxf>
              <font>
                <color theme="1"/>
              </font>
            </x14:dxf>
          </x14:cfRule>
          <xm:sqref>F4:F12 F14:F27 F29:F31</xm:sqref>
        </x14:conditionalFormatting>
        <x14:conditionalFormatting xmlns:xm="http://schemas.microsoft.com/office/excel/2006/main">
          <x14:cfRule type="expression" priority="1" id="{0FD7DC7D-C4EF-4CA2-9038-FCBD1E5CE4F0}">
            <xm:f>Inputs!$N$3=6</xm:f>
            <x14:dxf>
              <font>
                <color theme="1"/>
              </font>
            </x14:dxf>
          </x14:cfRule>
          <xm:sqref>F4:G12 F14:G27 F29:G31</xm:sqref>
        </x14:conditionalFormatting>
      </x14:conditionalFormattings>
    </ex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/>
  <dimension ref="A1:T202"/>
  <sheetViews>
    <sheetView showGridLines="0" zoomScale="80" zoomScaleNormal="80" zoomScalePageLayoutView="80" workbookViewId="0">
      <pane ySplit="1" topLeftCell="A140" activePane="bottomLeft" state="frozen"/>
      <selection pane="bottomLeft" activeCell="J166" sqref="J166"/>
    </sheetView>
  </sheetViews>
  <sheetFormatPr baseColWidth="10" defaultColWidth="8.83203125" defaultRowHeight="13" x14ac:dyDescent="0"/>
  <cols>
    <col min="1" max="7" width="10.6640625" style="49" customWidth="1"/>
    <col min="8" max="8" width="8.6640625" style="49" customWidth="1"/>
    <col min="9" max="13" width="20.6640625" style="49" customWidth="1"/>
    <col min="14" max="14" width="20.6640625" style="50" customWidth="1"/>
    <col min="15" max="16384" width="8.83203125" style="49"/>
  </cols>
  <sheetData>
    <row r="1" spans="1:20">
      <c r="A1" s="54" t="s">
        <v>79</v>
      </c>
      <c r="B1" s="53" t="s">
        <v>78</v>
      </c>
      <c r="C1" s="54" t="s">
        <v>80</v>
      </c>
      <c r="D1" s="54" t="s">
        <v>81</v>
      </c>
      <c r="E1" s="54" t="s">
        <v>82</v>
      </c>
      <c r="F1" s="54" t="s">
        <v>83</v>
      </c>
      <c r="G1" s="54" t="s">
        <v>174</v>
      </c>
    </row>
    <row r="2" spans="1:20">
      <c r="A2" s="50">
        <v>1</v>
      </c>
      <c r="B2" s="51">
        <v>47.350723793430227</v>
      </c>
      <c r="C2" s="52">
        <v>1.4769444574807815</v>
      </c>
      <c r="D2" s="52">
        <v>1.5434743076275053</v>
      </c>
      <c r="E2" s="52">
        <f>C2*$E$162</f>
        <v>0</v>
      </c>
      <c r="F2" s="52">
        <f>(D2*$E$163)</f>
        <v>0</v>
      </c>
      <c r="G2" s="52">
        <f>E2*F2</f>
        <v>0</v>
      </c>
    </row>
    <row r="3" spans="1:20">
      <c r="A3" s="50">
        <v>2</v>
      </c>
      <c r="B3" s="51">
        <v>48.827668250911003</v>
      </c>
      <c r="C3" s="52">
        <v>1.4977907745156902</v>
      </c>
      <c r="D3" s="52">
        <v>1.5646602104960903</v>
      </c>
      <c r="E3" s="52">
        <f t="shared" ref="E3:E66" si="0">C3*$E$162</f>
        <v>0</v>
      </c>
      <c r="F3" s="52">
        <f t="shared" ref="F3:F66" si="1">(D3*$E$163)</f>
        <v>0</v>
      </c>
      <c r="G3" s="52">
        <f t="shared" ref="G3:G66" si="2">E3*F3</f>
        <v>0</v>
      </c>
      <c r="I3" s="54" t="s">
        <v>84</v>
      </c>
      <c r="J3" s="195">
        <f t="array" ref="J3:M3">LINEST(E2:E131,B2:B131^{1,2,3})</f>
        <v>0</v>
      </c>
      <c r="K3" s="195">
        <v>0</v>
      </c>
      <c r="L3" s="195">
        <v>0</v>
      </c>
      <c r="M3" s="195">
        <v>0</v>
      </c>
    </row>
    <row r="4" spans="1:20">
      <c r="A4" s="50">
        <v>3</v>
      </c>
      <c r="B4" s="51">
        <v>50.325459025426696</v>
      </c>
      <c r="C4" s="52">
        <v>1.5183496940426222</v>
      </c>
      <c r="D4" s="52">
        <v>1.5857665541340262</v>
      </c>
      <c r="E4" s="52">
        <f t="shared" si="0"/>
        <v>0</v>
      </c>
      <c r="F4" s="52">
        <f t="shared" si="1"/>
        <v>0</v>
      </c>
      <c r="G4" s="52">
        <f t="shared" si="2"/>
        <v>0</v>
      </c>
      <c r="I4" s="54" t="s">
        <v>81</v>
      </c>
      <c r="J4" s="195">
        <f t="array" ref="J4:M4">LINEST(F2:F131,B2:B131^{1,2,3})</f>
        <v>0</v>
      </c>
      <c r="K4" s="195">
        <v>0</v>
      </c>
      <c r="L4" s="195">
        <v>0</v>
      </c>
      <c r="M4" s="195">
        <v>0</v>
      </c>
    </row>
    <row r="5" spans="1:20">
      <c r="A5" s="50">
        <v>4</v>
      </c>
      <c r="B5" s="51">
        <v>51.843808719469322</v>
      </c>
      <c r="C5" s="52">
        <v>1.5386167587666892</v>
      </c>
      <c r="D5" s="52">
        <v>1.6067848025659175</v>
      </c>
      <c r="E5" s="52">
        <f t="shared" si="0"/>
        <v>0</v>
      </c>
      <c r="F5" s="52">
        <f t="shared" si="1"/>
        <v>0</v>
      </c>
      <c r="G5" s="52">
        <f t="shared" si="2"/>
        <v>0</v>
      </c>
    </row>
    <row r="6" spans="1:20">
      <c r="A6" s="50">
        <v>5</v>
      </c>
      <c r="B6" s="51">
        <v>53.382425478236016</v>
      </c>
      <c r="C6" s="52">
        <v>1.5585877133851949</v>
      </c>
      <c r="D6" s="52">
        <v>1.6277068350537329</v>
      </c>
      <c r="E6" s="52">
        <f t="shared" si="0"/>
        <v>0</v>
      </c>
      <c r="F6" s="52">
        <f t="shared" si="1"/>
        <v>0</v>
      </c>
      <c r="G6" s="52">
        <f t="shared" si="2"/>
        <v>0</v>
      </c>
    </row>
    <row r="7" spans="1:20">
      <c r="A7" s="50">
        <v>6</v>
      </c>
      <c r="B7" s="51">
        <v>54.941013191621209</v>
      </c>
      <c r="C7" s="52">
        <v>1.5782585041823358</v>
      </c>
      <c r="D7" s="52">
        <v>1.6485249428055178</v>
      </c>
      <c r="E7" s="52">
        <f t="shared" si="0"/>
        <v>0</v>
      </c>
      <c r="F7" s="52">
        <f t="shared" si="1"/>
        <v>0</v>
      </c>
      <c r="G7" s="52">
        <f t="shared" si="2"/>
        <v>0</v>
      </c>
      <c r="O7" s="50"/>
      <c r="P7" s="50"/>
      <c r="Q7" s="50"/>
      <c r="R7" s="50"/>
      <c r="S7" s="50"/>
      <c r="T7" s="50"/>
    </row>
    <row r="8" spans="1:20">
      <c r="A8" s="50">
        <v>7</v>
      </c>
      <c r="B8" s="51">
        <v>56.519271695803539</v>
      </c>
      <c r="C8" s="52">
        <v>1.5976252785063496</v>
      </c>
      <c r="D8" s="52">
        <v>1.6692318263132946</v>
      </c>
      <c r="E8" s="52">
        <f t="shared" si="0"/>
        <v>0</v>
      </c>
      <c r="F8" s="52">
        <f t="shared" si="1"/>
        <v>0</v>
      </c>
      <c r="G8" s="52">
        <f t="shared" si="2"/>
        <v>0</v>
      </c>
      <c r="I8" s="52"/>
      <c r="J8" s="59"/>
      <c r="N8" s="52"/>
      <c r="O8" s="52"/>
      <c r="P8" s="52"/>
      <c r="Q8" s="52"/>
      <c r="R8" s="52"/>
      <c r="S8" s="52"/>
      <c r="T8" s="52"/>
    </row>
    <row r="9" spans="1:20">
      <c r="A9" s="50">
        <v>8</v>
      </c>
      <c r="B9" s="51">
        <v>58.116896974309888</v>
      </c>
      <c r="C9" s="52">
        <v>1.616684384126436</v>
      </c>
      <c r="D9" s="52">
        <v>1.689820593139054</v>
      </c>
      <c r="E9" s="52">
        <f t="shared" si="0"/>
        <v>0</v>
      </c>
      <c r="F9" s="52">
        <f t="shared" si="1"/>
        <v>0</v>
      </c>
      <c r="G9" s="52">
        <f t="shared" si="2"/>
        <v>0</v>
      </c>
      <c r="I9" s="52"/>
      <c r="J9" s="60"/>
      <c r="N9" s="52"/>
      <c r="O9" s="52"/>
      <c r="P9" s="52"/>
      <c r="Q9" s="52"/>
      <c r="R9" s="52"/>
      <c r="S9" s="52"/>
      <c r="T9" s="52"/>
    </row>
    <row r="10" spans="1:20">
      <c r="A10" s="50">
        <v>9</v>
      </c>
      <c r="B10" s="51">
        <v>59.733581358436325</v>
      </c>
      <c r="C10" s="52">
        <v>1.6354323684657912</v>
      </c>
      <c r="D10" s="52">
        <v>1.7102847559910801</v>
      </c>
      <c r="E10" s="52">
        <f t="shared" si="0"/>
        <v>0</v>
      </c>
      <c r="F10" s="52">
        <f t="shared" si="1"/>
        <v>0</v>
      </c>
      <c r="G10" s="52">
        <f t="shared" si="2"/>
        <v>0</v>
      </c>
      <c r="N10" s="52"/>
      <c r="O10" s="52"/>
      <c r="P10" s="52"/>
      <c r="Q10" s="52"/>
      <c r="R10" s="52"/>
      <c r="S10" s="52"/>
      <c r="T10" s="223"/>
    </row>
    <row r="11" spans="1:20">
      <c r="A11" s="50">
        <v>10</v>
      </c>
      <c r="B11" s="51">
        <v>61.369013726902118</v>
      </c>
      <c r="C11" s="52">
        <v>1.6538659777100739</v>
      </c>
      <c r="D11" s="52">
        <v>1.7306182309496181</v>
      </c>
      <c r="E11" s="52">
        <f t="shared" si="0"/>
        <v>0</v>
      </c>
      <c r="F11" s="52">
        <f t="shared" si="1"/>
        <v>0</v>
      </c>
      <c r="G11" s="52">
        <f t="shared" si="2"/>
        <v>0</v>
      </c>
      <c r="N11" s="52"/>
      <c r="O11" s="52"/>
      <c r="P11" s="52"/>
      <c r="Q11" s="52"/>
      <c r="R11" s="52"/>
      <c r="S11" s="52"/>
      <c r="T11" s="52"/>
    </row>
    <row r="12" spans="1:20">
      <c r="A12" s="50">
        <v>11</v>
      </c>
      <c r="B12" s="51">
        <v>63.022879704612194</v>
      </c>
      <c r="C12" s="52">
        <v>1.671982155789248</v>
      </c>
      <c r="D12" s="52">
        <v>1.7508153357205871</v>
      </c>
      <c r="E12" s="52">
        <f t="shared" si="0"/>
        <v>0</v>
      </c>
      <c r="F12" s="52">
        <f t="shared" si="1"/>
        <v>0</v>
      </c>
      <c r="G12" s="52">
        <f t="shared" si="2"/>
        <v>0</v>
      </c>
      <c r="H12" s="50"/>
      <c r="I12" s="52"/>
      <c r="J12" s="52"/>
      <c r="K12" s="52"/>
      <c r="L12" s="52"/>
      <c r="M12" s="52"/>
      <c r="N12" s="52"/>
      <c r="O12" s="52"/>
    </row>
    <row r="13" spans="1:20">
      <c r="A13" s="50">
        <v>12</v>
      </c>
      <c r="B13" s="51">
        <v>64.694861860401446</v>
      </c>
      <c r="C13" s="52">
        <v>1.6897780432326737</v>
      </c>
      <c r="D13" s="52">
        <v>1.7708707878102623</v>
      </c>
      <c r="E13" s="52">
        <f t="shared" si="0"/>
        <v>0</v>
      </c>
      <c r="F13" s="52">
        <f t="shared" si="1"/>
        <v>0</v>
      </c>
      <c r="G13" s="52">
        <f t="shared" si="2"/>
        <v>0</v>
      </c>
      <c r="H13" s="50"/>
      <c r="I13" s="51"/>
      <c r="J13" s="52"/>
      <c r="K13" s="52"/>
      <c r="L13" s="55"/>
      <c r="M13" s="52"/>
    </row>
    <row r="14" spans="1:20">
      <c r="A14" s="50">
        <v>13</v>
      </c>
      <c r="B14" s="51">
        <v>66.38463990363411</v>
      </c>
      <c r="C14" s="52">
        <v>1.7072509758969701</v>
      </c>
      <c r="D14" s="52">
        <v>1.7907797025294863</v>
      </c>
      <c r="E14" s="52">
        <f t="shared" si="0"/>
        <v>0</v>
      </c>
      <c r="F14" s="52">
        <f t="shared" si="1"/>
        <v>0</v>
      </c>
      <c r="G14" s="52">
        <f t="shared" si="2"/>
        <v>0</v>
      </c>
      <c r="H14" s="50"/>
      <c r="I14" s="51"/>
      <c r="J14" s="52"/>
      <c r="K14" s="52"/>
      <c r="L14" s="55"/>
      <c r="M14" s="52"/>
    </row>
    <row r="15" spans="1:20">
      <c r="A15" s="50">
        <v>14</v>
      </c>
      <c r="B15" s="51">
        <v>68.091890879531078</v>
      </c>
      <c r="C15" s="52">
        <v>1.7243984835673056</v>
      </c>
      <c r="D15" s="52">
        <v>1.8105375907482104</v>
      </c>
      <c r="E15" s="52">
        <f t="shared" si="0"/>
        <v>0</v>
      </c>
      <c r="F15" s="52">
        <f t="shared" si="1"/>
        <v>0</v>
      </c>
      <c r="G15" s="52">
        <f t="shared" si="2"/>
        <v>0</v>
      </c>
      <c r="H15" s="50"/>
      <c r="I15" s="51"/>
      <c r="J15" s="52"/>
      <c r="K15" s="52"/>
      <c r="L15" s="55"/>
      <c r="M15" s="52"/>
    </row>
    <row r="16" spans="1:20">
      <c r="A16" s="50">
        <v>15</v>
      </c>
      <c r="B16" s="51">
        <v>69.816289363098377</v>
      </c>
      <c r="C16" s="52">
        <v>1.7412182884332841</v>
      </c>
      <c r="D16" s="52">
        <v>1.8301403563334739</v>
      </c>
      <c r="E16" s="52">
        <f t="shared" si="0"/>
        <v>0</v>
      </c>
      <c r="F16" s="52">
        <f t="shared" si="1"/>
        <v>0</v>
      </c>
      <c r="G16" s="52">
        <f t="shared" si="2"/>
        <v>0</v>
      </c>
      <c r="H16" s="50"/>
      <c r="I16" s="51"/>
      <c r="J16" s="52"/>
      <c r="K16" s="52"/>
      <c r="L16" s="55"/>
      <c r="M16" s="52"/>
    </row>
    <row r="17" spans="1:13">
      <c r="A17" s="50">
        <v>16</v>
      </c>
      <c r="B17" s="51">
        <v>71.557507651531665</v>
      </c>
      <c r="C17" s="52">
        <v>1.7577083034397698</v>
      </c>
      <c r="D17" s="52">
        <v>1.8495842932161954</v>
      </c>
      <c r="E17" s="52">
        <f t="shared" si="0"/>
        <v>0</v>
      </c>
      <c r="F17" s="52">
        <f t="shared" si="1"/>
        <v>0</v>
      </c>
      <c r="G17" s="52">
        <f t="shared" si="2"/>
        <v>0</v>
      </c>
      <c r="H17" s="50"/>
      <c r="I17" s="51"/>
      <c r="J17" s="52"/>
      <c r="K17" s="52"/>
      <c r="L17" s="55"/>
      <c r="M17" s="52"/>
    </row>
    <row r="18" spans="1:13">
      <c r="A18" s="50">
        <v>17</v>
      </c>
      <c r="B18" s="51">
        <v>73.31521595497145</v>
      </c>
      <c r="C18" s="52">
        <v>1.7738666305157265</v>
      </c>
      <c r="D18" s="52">
        <v>1.8688660820399965</v>
      </c>
      <c r="E18" s="52">
        <f t="shared" si="0"/>
        <v>0</v>
      </c>
      <c r="F18" s="52">
        <f t="shared" si="1"/>
        <v>0</v>
      </c>
      <c r="G18" s="52">
        <f t="shared" si="2"/>
        <v>0</v>
      </c>
      <c r="H18" s="50"/>
      <c r="I18" s="51"/>
      <c r="J18" s="52"/>
      <c r="K18" s="52"/>
      <c r="L18" s="55"/>
      <c r="M18" s="52"/>
    </row>
    <row r="19" spans="1:13">
      <c r="A19" s="50">
        <v>18</v>
      </c>
      <c r="B19" s="51">
        <v>75.089082585487176</v>
      </c>
      <c r="C19" s="52">
        <v>1.7896915586819886</v>
      </c>
      <c r="D19" s="52">
        <v>1.8879827863573215</v>
      </c>
      <c r="E19" s="52">
        <f t="shared" si="0"/>
        <v>0</v>
      </c>
      <c r="F19" s="52">
        <f t="shared" si="1"/>
        <v>0</v>
      </c>
      <c r="G19" s="52">
        <f t="shared" si="2"/>
        <v>0</v>
      </c>
      <c r="I19" s="50"/>
      <c r="J19" s="50"/>
      <c r="K19" s="50"/>
      <c r="L19" s="50"/>
      <c r="M19" s="50"/>
    </row>
    <row r="20" spans="1:13">
      <c r="A20" s="50">
        <v>19</v>
      </c>
      <c r="B20" s="51">
        <v>76.878774144169171</v>
      </c>
      <c r="C20" s="52">
        <v>1.8051815620410774</v>
      </c>
      <c r="D20" s="52">
        <v>1.9069318483447835</v>
      </c>
      <c r="E20" s="52">
        <f t="shared" si="0"/>
        <v>0</v>
      </c>
      <c r="F20" s="52">
        <f t="shared" si="1"/>
        <v>0</v>
      </c>
      <c r="G20" s="52">
        <f t="shared" si="2"/>
        <v>0</v>
      </c>
      <c r="I20" s="50"/>
      <c r="J20" s="50"/>
      <c r="K20" s="50"/>
      <c r="L20" s="50"/>
      <c r="M20" s="52"/>
    </row>
    <row r="21" spans="1:13">
      <c r="A21" s="50">
        <v>20</v>
      </c>
      <c r="B21" s="51">
        <v>78.683955706210241</v>
      </c>
      <c r="C21" s="52">
        <v>1.8203352976515441</v>
      </c>
      <c r="D21" s="52">
        <v>1.9257110840186893</v>
      </c>
      <c r="E21" s="52">
        <f t="shared" si="0"/>
        <v>0</v>
      </c>
      <c r="F21" s="52">
        <f t="shared" si="1"/>
        <v>0</v>
      </c>
      <c r="G21" s="52">
        <f t="shared" si="2"/>
        <v>0</v>
      </c>
      <c r="I21" s="50"/>
      <c r="J21" s="50"/>
      <c r="K21" s="50"/>
      <c r="L21" s="50"/>
      <c r="M21" s="52"/>
    </row>
    <row r="22" spans="1:13">
      <c r="A22" s="50">
        <v>21</v>
      </c>
      <c r="B22" s="51">
        <v>80.50429100386178</v>
      </c>
      <c r="C22" s="52">
        <v>1.8351516032898794</v>
      </c>
      <c r="D22" s="52">
        <v>1.9443186779385973</v>
      </c>
      <c r="E22" s="52">
        <f t="shared" si="0"/>
        <v>0</v>
      </c>
      <c r="F22" s="52">
        <f t="shared" si="1"/>
        <v>0</v>
      </c>
      <c r="G22" s="52">
        <f t="shared" si="2"/>
        <v>0</v>
      </c>
      <c r="I22" s="50"/>
      <c r="J22" s="50"/>
      <c r="K22" s="50"/>
      <c r="L22" s="50"/>
      <c r="M22" s="52"/>
    </row>
    <row r="23" spans="1:13">
      <c r="A23" s="50">
        <v>22</v>
      </c>
      <c r="B23" s="51">
        <v>82.339442607151668</v>
      </c>
      <c r="C23" s="52">
        <v>1.8496294951032644</v>
      </c>
      <c r="D23" s="52">
        <v>1.9627531773935758</v>
      </c>
      <c r="E23" s="52">
        <f t="shared" si="0"/>
        <v>0</v>
      </c>
      <c r="F23" s="52">
        <f t="shared" si="1"/>
        <v>0</v>
      </c>
      <c r="G23" s="52">
        <f t="shared" si="2"/>
        <v>0</v>
      </c>
      <c r="I23" s="50"/>
      <c r="J23" s="50"/>
      <c r="K23" s="50"/>
      <c r="L23" s="50"/>
      <c r="M23" s="52"/>
    </row>
    <row r="24" spans="1:13">
      <c r="A24" s="50">
        <v>23</v>
      </c>
      <c r="B24" s="51">
        <v>84.189072102254926</v>
      </c>
      <c r="C24" s="52">
        <v>1.8637681651569749</v>
      </c>
      <c r="D24" s="52">
        <v>1.9810134860714839</v>
      </c>
      <c r="E24" s="52">
        <f t="shared" si="0"/>
        <v>0</v>
      </c>
      <c r="F24" s="52">
        <f t="shared" si="1"/>
        <v>0</v>
      </c>
      <c r="G24" s="52">
        <f t="shared" si="2"/>
        <v>0</v>
      </c>
      <c r="I24" s="50"/>
      <c r="J24" s="50"/>
      <c r="K24" s="50"/>
      <c r="L24" s="50"/>
      <c r="M24" s="52"/>
    </row>
    <row r="25" spans="1:13">
      <c r="A25" s="50">
        <v>24</v>
      </c>
      <c r="B25" s="51">
        <v>86.052840267411909</v>
      </c>
      <c r="C25" s="52">
        <v>1.877566978879333</v>
      </c>
      <c r="D25" s="52">
        <v>1.9990988572184576</v>
      </c>
      <c r="E25" s="52">
        <f t="shared" si="0"/>
        <v>0</v>
      </c>
      <c r="F25" s="52">
        <f t="shared" si="1"/>
        <v>0</v>
      </c>
      <c r="G25" s="52">
        <f t="shared" si="2"/>
        <v>0</v>
      </c>
      <c r="I25" s="50"/>
      <c r="J25" s="50"/>
      <c r="K25" s="50"/>
      <c r="L25" s="50"/>
      <c r="M25" s="52"/>
    </row>
    <row r="26" spans="1:13">
      <c r="A26" s="50">
        <v>25</v>
      </c>
      <c r="B26" s="51">
        <v>87.930407246291225</v>
      </c>
      <c r="C26" s="52">
        <v>1.8910254724094275</v>
      </c>
      <c r="D26" s="52">
        <v>2.0170088862983508</v>
      </c>
      <c r="E26" s="52">
        <f t="shared" si="0"/>
        <v>0</v>
      </c>
      <c r="F26" s="52">
        <f t="shared" si="1"/>
        <v>0</v>
      </c>
      <c r="G26" s="52">
        <f t="shared" si="2"/>
        <v>0</v>
      </c>
    </row>
    <row r="27" spans="1:13">
      <c r="A27" s="50">
        <v>26</v>
      </c>
      <c r="B27" s="51">
        <v>89.821432718700663</v>
      </c>
      <c r="C27" s="52">
        <v>1.9041433498501099</v>
      </c>
      <c r="D27" s="52">
        <v>2.0347435031696035</v>
      </c>
      <c r="E27" s="52">
        <f t="shared" si="0"/>
        <v>0</v>
      </c>
      <c r="F27" s="52">
        <f t="shared" si="1"/>
        <v>0</v>
      </c>
      <c r="G27" s="52">
        <f t="shared" si="2"/>
        <v>0</v>
      </c>
    </row>
    <row r="28" spans="1:13">
      <c r="A28" s="50">
        <v>27</v>
      </c>
      <c r="B28" s="51">
        <v>91.725576068550765</v>
      </c>
      <c r="C28" s="52">
        <v>1.9169204804321067</v>
      </c>
      <c r="D28" s="52">
        <v>2.0523029637974175</v>
      </c>
      <c r="E28" s="52">
        <f t="shared" si="0"/>
        <v>0</v>
      </c>
      <c r="F28" s="52">
        <f t="shared" si="1"/>
        <v>0</v>
      </c>
      <c r="G28" s="52">
        <f t="shared" si="2"/>
        <v>0</v>
      </c>
    </row>
    <row r="29" spans="1:13">
      <c r="A29" s="50">
        <v>28</v>
      </c>
      <c r="B29" s="51">
        <v>93.642496548982876</v>
      </c>
      <c r="C29" s="52">
        <v>1.9293568955922606</v>
      </c>
      <c r="D29" s="52">
        <v>2.0696878415259654</v>
      </c>
      <c r="E29" s="52">
        <f t="shared" si="0"/>
        <v>0</v>
      </c>
      <c r="F29" s="52">
        <f t="shared" si="1"/>
        <v>0</v>
      </c>
      <c r="G29" s="52">
        <f t="shared" si="2"/>
        <v>0</v>
      </c>
    </row>
    <row r="30" spans="1:13">
      <c r="A30" s="50">
        <v>29</v>
      </c>
      <c r="B30" s="51">
        <v>95.57185344457514</v>
      </c>
      <c r="C30" s="52">
        <v>1.9414527859712412</v>
      </c>
      <c r="D30" s="52">
        <v>2.0868990179359157</v>
      </c>
      <c r="E30" s="52">
        <f t="shared" si="0"/>
        <v>0</v>
      </c>
      <c r="F30" s="52">
        <f t="shared" si="1"/>
        <v>0</v>
      </c>
      <c r="G30" s="52">
        <f t="shared" si="2"/>
        <v>0</v>
      </c>
    </row>
    <row r="31" spans="1:13">
      <c r="A31" s="50">
        <v>30</v>
      </c>
      <c r="B31" s="51">
        <v>97.513306230546362</v>
      </c>
      <c r="C31" s="52">
        <v>1.9532084983347364</v>
      </c>
      <c r="D31" s="52">
        <v>2.1039376733167732</v>
      </c>
      <c r="E31" s="52">
        <f t="shared" si="0"/>
        <v>0</v>
      </c>
      <c r="F31" s="52">
        <f t="shared" si="1"/>
        <v>0</v>
      </c>
      <c r="G31" s="52">
        <f t="shared" si="2"/>
        <v>0</v>
      </c>
    </row>
    <row r="32" spans="1:13">
      <c r="A32" s="50">
        <v>31</v>
      </c>
      <c r="B32" s="51">
        <v>99.466514728881123</v>
      </c>
      <c r="C32" s="52">
        <v>1.9646245324232898</v>
      </c>
      <c r="D32" s="52">
        <v>2.1208052767845595</v>
      </c>
      <c r="E32" s="52">
        <f t="shared" si="0"/>
        <v>0</v>
      </c>
      <c r="F32" s="52">
        <f t="shared" si="1"/>
        <v>0</v>
      </c>
      <c r="G32" s="52">
        <f t="shared" si="2"/>
        <v>0</v>
      </c>
    </row>
    <row r="33" spans="1:7">
      <c r="A33" s="50">
        <v>32</v>
      </c>
      <c r="B33" s="51">
        <v>101.43113926130441</v>
      </c>
      <c r="C33" s="52">
        <v>1.975701537734786</v>
      </c>
      <c r="D33" s="52">
        <v>2.1375035760784948</v>
      </c>
      <c r="E33" s="52">
        <f t="shared" si="0"/>
        <v>0</v>
      </c>
      <c r="F33" s="52">
        <f t="shared" si="1"/>
        <v>0</v>
      </c>
      <c r="G33" s="52">
        <f t="shared" si="2"/>
        <v>0</v>
      </c>
    </row>
    <row r="34" spans="1:7">
      <c r="A34" s="50">
        <v>33</v>
      </c>
      <c r="B34" s="51">
        <v>103.40684079903919</v>
      </c>
      <c r="C34" s="52">
        <v>1.9864403102451742</v>
      </c>
      <c r="D34" s="52">
        <v>2.154034587070079</v>
      </c>
      <c r="E34" s="52">
        <f t="shared" si="0"/>
        <v>0</v>
      </c>
      <c r="F34" s="52">
        <f t="shared" si="1"/>
        <v>0</v>
      </c>
      <c r="G34" s="52">
        <f t="shared" si="2"/>
        <v>0</v>
      </c>
    </row>
    <row r="35" spans="1:7">
      <c r="A35" s="50">
        <v>34</v>
      </c>
      <c r="B35" s="51">
        <v>105.39328110928437</v>
      </c>
      <c r="C35" s="52">
        <v>1.9968417890713994</v>
      </c>
      <c r="D35" s="52">
        <v>2.1704005830208826</v>
      </c>
      <c r="E35" s="52">
        <f t="shared" si="0"/>
        <v>0</v>
      </c>
      <c r="F35" s="52">
        <f t="shared" si="1"/>
        <v>0</v>
      </c>
      <c r="G35" s="52">
        <f t="shared" si="2"/>
        <v>0</v>
      </c>
    </row>
    <row r="36" spans="1:7">
      <c r="A36" s="50">
        <v>35</v>
      </c>
      <c r="B36" s="51">
        <v>107.39012289835577</v>
      </c>
      <c r="C36" s="52">
        <v>2.0069070530817523</v>
      </c>
      <c r="D36" s="52">
        <v>2.186604083624661</v>
      </c>
      <c r="E36" s="52">
        <f t="shared" si="0"/>
        <v>0</v>
      </c>
      <c r="F36" s="52">
        <f t="shared" si="1"/>
        <v>0</v>
      </c>
      <c r="G36" s="52">
        <f t="shared" si="2"/>
        <v>0</v>
      </c>
    </row>
    <row r="37" spans="1:7">
      <c r="A37" s="50">
        <v>36</v>
      </c>
      <c r="B37" s="51">
        <v>109.39702995143752</v>
      </c>
      <c r="C37" s="52">
        <v>2.0166373174584447</v>
      </c>
      <c r="D37" s="52">
        <v>2.2026478438704027</v>
      </c>
      <c r="E37" s="52">
        <f t="shared" si="0"/>
        <v>0</v>
      </c>
      <c r="F37" s="52">
        <f t="shared" si="1"/>
        <v>0</v>
      </c>
      <c r="G37" s="52">
        <f t="shared" si="2"/>
        <v>0</v>
      </c>
    </row>
    <row r="38" spans="1:7">
      <c r="A38" s="50">
        <v>37</v>
      </c>
      <c r="B38" s="51">
        <v>111.41366726889596</v>
      </c>
      <c r="C38" s="52">
        <v>2.0260339302168928</v>
      </c>
      <c r="D38" s="52">
        <v>2.2185348427632041</v>
      </c>
      <c r="E38" s="52">
        <f t="shared" si="0"/>
        <v>0</v>
      </c>
      <c r="F38" s="52">
        <f t="shared" si="1"/>
        <v>0</v>
      </c>
      <c r="G38" s="52">
        <f t="shared" si="2"/>
        <v>0</v>
      </c>
    </row>
    <row r="39" spans="1:7">
      <c r="A39" s="50">
        <v>38</v>
      </c>
      <c r="B39" s="51">
        <v>113.43970119911285</v>
      </c>
      <c r="C39" s="52">
        <v>2.0350983686869637</v>
      </c>
      <c r="D39" s="52">
        <v>2.2342682719390115</v>
      </c>
      <c r="E39" s="52">
        <f t="shared" si="0"/>
        <v>0</v>
      </c>
      <c r="F39" s="52">
        <f t="shared" si="1"/>
        <v>0</v>
      </c>
      <c r="G39" s="52">
        <f t="shared" si="2"/>
        <v>0</v>
      </c>
    </row>
    <row r="40" spans="1:7">
      <c r="A40" s="50">
        <v>39</v>
      </c>
      <c r="B40" s="51">
        <v>115.47479956779982</v>
      </c>
      <c r="C40" s="52">
        <v>2.0438322359600587</v>
      </c>
      <c r="D40" s="52">
        <v>2.249851524210182</v>
      </c>
      <c r="E40" s="52">
        <f t="shared" si="0"/>
        <v>0</v>
      </c>
      <c r="F40" s="52">
        <f t="shared" si="1"/>
        <v>0</v>
      </c>
      <c r="G40" s="52">
        <f t="shared" si="2"/>
        <v>0</v>
      </c>
    </row>
    <row r="41" spans="1:7">
      <c r="A41" s="50">
        <v>40</v>
      </c>
      <c r="B41" s="51">
        <v>117.51863180375987</v>
      </c>
      <c r="C41" s="52">
        <v>2.052237257307826</v>
      </c>
      <c r="D41" s="52">
        <v>2.2652881820761017</v>
      </c>
      <c r="E41" s="52">
        <f t="shared" si="0"/>
        <v>0</v>
      </c>
      <c r="F41" s="52">
        <f t="shared" si="1"/>
        <v>0</v>
      </c>
      <c r="G41" s="52">
        <f t="shared" si="2"/>
        <v>0</v>
      </c>
    </row>
    <row r="42" spans="1:7">
      <c r="A42" s="50">
        <v>41</v>
      </c>
      <c r="B42" s="51">
        <v>119.5708690610677</v>
      </c>
      <c r="C42" s="52">
        <v>2.0603152765759991</v>
      </c>
      <c r="D42" s="52">
        <v>2.2805820062346616</v>
      </c>
      <c r="E42" s="52">
        <f t="shared" si="0"/>
        <v>0</v>
      </c>
      <c r="F42" s="52">
        <f t="shared" si="1"/>
        <v>0</v>
      </c>
      <c r="G42" s="52">
        <f t="shared" si="2"/>
        <v>0</v>
      </c>
    </row>
    <row r="43" spans="1:7">
      <c r="A43" s="50">
        <v>42</v>
      </c>
      <c r="B43" s="51">
        <v>121.6311843376437</v>
      </c>
      <c r="C43" s="52">
        <v>2.068068252559002</v>
      </c>
      <c r="D43" s="52">
        <v>2.2957369241269117</v>
      </c>
      <c r="E43" s="52">
        <f t="shared" si="0"/>
        <v>0</v>
      </c>
      <c r="F43" s="52">
        <f t="shared" si="1"/>
        <v>0</v>
      </c>
      <c r="G43" s="52">
        <f t="shared" si="2"/>
        <v>0</v>
      </c>
    </row>
    <row r="44" spans="1:7">
      <c r="A44" s="50">
        <v>43</v>
      </c>
      <c r="B44" s="51">
        <v>123.69925259020272</v>
      </c>
      <c r="C44" s="52">
        <v>2.0754982553586196</v>
      </c>
      <c r="D44" s="52">
        <v>2.3107570185485198</v>
      </c>
      <c r="E44" s="52">
        <f t="shared" si="0"/>
        <v>0</v>
      </c>
      <c r="F44" s="52">
        <f t="shared" si="1"/>
        <v>0</v>
      </c>
      <c r="G44" s="52">
        <f t="shared" si="2"/>
        <v>0</v>
      </c>
    </row>
    <row r="45" spans="1:7">
      <c r="A45" s="50">
        <v>44</v>
      </c>
      <c r="B45" s="51">
        <v>125.77475084556133</v>
      </c>
      <c r="C45" s="52">
        <v>2.0826074627321445</v>
      </c>
      <c r="D45" s="52">
        <v>2.3256465163577893</v>
      </c>
      <c r="E45" s="52">
        <f t="shared" si="0"/>
        <v>0</v>
      </c>
      <c r="F45" s="52">
        <f t="shared" si="1"/>
        <v>0</v>
      </c>
      <c r="G45" s="52">
        <f t="shared" si="2"/>
        <v>0</v>
      </c>
    </row>
    <row r="46" spans="1:7">
      <c r="A46" s="50">
        <v>45</v>
      </c>
      <c r="B46" s="51">
        <v>127.85735830829347</v>
      </c>
      <c r="C46" s="52">
        <v>2.0893981564341382</v>
      </c>
      <c r="D46" s="52">
        <v>2.3404097773099126</v>
      </c>
      <c r="E46" s="52">
        <f t="shared" si="0"/>
        <v>0</v>
      </c>
      <c r="F46" s="52">
        <f t="shared" si="1"/>
        <v>0</v>
      </c>
      <c r="G46" s="52">
        <f t="shared" si="2"/>
        <v>0</v>
      </c>
    </row>
    <row r="47" spans="1:7">
      <c r="A47" s="50">
        <v>46</v>
      </c>
      <c r="B47" s="51">
        <v>129.9467564647276</v>
      </c>
      <c r="C47" s="52">
        <v>2.0958727185552006</v>
      </c>
      <c r="D47" s="52">
        <v>2.3550512830461541</v>
      </c>
      <c r="E47" s="52">
        <f t="shared" si="0"/>
        <v>0</v>
      </c>
      <c r="F47" s="52">
        <f t="shared" si="1"/>
        <v>0</v>
      </c>
      <c r="G47" s="52">
        <f t="shared" si="2"/>
        <v>0</v>
      </c>
    </row>
    <row r="48" spans="1:7">
      <c r="A48" s="50">
        <v>47</v>
      </c>
      <c r="B48" s="51">
        <v>132.04262918328283</v>
      </c>
      <c r="C48" s="52">
        <v>2.1020336278628586</v>
      </c>
      <c r="D48" s="52">
        <v>2.369575626262967</v>
      </c>
      <c r="E48" s="52">
        <f t="shared" si="0"/>
        <v>0</v>
      </c>
      <c r="F48" s="52">
        <f t="shared" si="1"/>
        <v>0</v>
      </c>
      <c r="G48" s="52">
        <f t="shared" si="2"/>
        <v>0</v>
      </c>
    </row>
    <row r="49" spans="1:7">
      <c r="A49" s="50">
        <v>48</v>
      </c>
      <c r="B49" s="51">
        <v>134.14466281114568</v>
      </c>
      <c r="C49" s="52">
        <v>2.1078834561485373</v>
      </c>
      <c r="D49" s="52">
        <v>2.383987500085448</v>
      </c>
      <c r="E49" s="52">
        <f t="shared" si="0"/>
        <v>0</v>
      </c>
      <c r="F49" s="52">
        <f t="shared" si="1"/>
        <v>0</v>
      </c>
      <c r="G49" s="52">
        <f t="shared" si="2"/>
        <v>0</v>
      </c>
    </row>
    <row r="50" spans="1:7">
      <c r="A50" s="50">
        <v>49</v>
      </c>
      <c r="B50" s="51">
        <v>136.25254626729421</v>
      </c>
      <c r="C50" s="52">
        <v>2.1134248645833362</v>
      </c>
      <c r="D50" s="52">
        <v>2.3982916876689435</v>
      </c>
      <c r="E50" s="52">
        <f t="shared" si="0"/>
        <v>0</v>
      </c>
      <c r="F50" s="52">
        <f t="shared" si="1"/>
        <v>0</v>
      </c>
      <c r="G50" s="52">
        <f t="shared" si="2"/>
        <v>0</v>
      </c>
    </row>
    <row r="51" spans="1:7">
      <c r="A51" s="50">
        <v>50</v>
      </c>
      <c r="B51" s="51">
        <v>138.36597113187753</v>
      </c>
      <c r="C51" s="52">
        <v>2.1186606000880266</v>
      </c>
      <c r="D51" s="52">
        <v>2.4124930520476471</v>
      </c>
      <c r="E51" s="52">
        <f t="shared" si="0"/>
        <v>0</v>
      </c>
      <c r="F51" s="52">
        <f t="shared" si="1"/>
        <v>0</v>
      </c>
      <c r="G51" s="52">
        <f t="shared" si="2"/>
        <v>0</v>
      </c>
    </row>
    <row r="52" spans="1:7">
      <c r="A52" s="50">
        <v>51</v>
      </c>
      <c r="B52" s="51">
        <v>140.48463173196555</v>
      </c>
      <c r="C52" s="52">
        <v>2.1235934917197694</v>
      </c>
      <c r="D52" s="52">
        <v>2.4265965262502243</v>
      </c>
      <c r="E52" s="52">
        <f t="shared" si="0"/>
        <v>0</v>
      </c>
      <c r="F52" s="52">
        <f t="shared" si="1"/>
        <v>0</v>
      </c>
      <c r="G52" s="52">
        <f t="shared" si="2"/>
        <v>0</v>
      </c>
    </row>
    <row r="53" spans="1:7">
      <c r="A53" s="50">
        <v>52</v>
      </c>
      <c r="B53" s="51">
        <v>142.60822522368531</v>
      </c>
      <c r="C53" s="52">
        <v>2.1282264470794447</v>
      </c>
      <c r="D53" s="52">
        <v>2.4406071036989605</v>
      </c>
      <c r="E53" s="52">
        <f t="shared" si="0"/>
        <v>0</v>
      </c>
      <c r="F53" s="52">
        <f t="shared" si="1"/>
        <v>0</v>
      </c>
      <c r="G53" s="52">
        <f t="shared" si="2"/>
        <v>0</v>
      </c>
    </row>
    <row r="54" spans="1:7">
      <c r="A54" s="50">
        <v>53</v>
      </c>
      <c r="B54" s="51">
        <v>144.73645167076478</v>
      </c>
      <c r="C54" s="52">
        <v>2.132562448743144</v>
      </c>
      <c r="D54" s="52">
        <v>2.4545298289072672</v>
      </c>
      <c r="E54" s="52">
        <f t="shared" si="0"/>
        <v>0</v>
      </c>
      <c r="F54" s="52">
        <f t="shared" si="1"/>
        <v>0</v>
      </c>
      <c r="G54" s="52">
        <f t="shared" si="2"/>
        <v>0</v>
      </c>
    </row>
    <row r="55" spans="1:7">
      <c r="A55" s="50">
        <v>54</v>
      </c>
      <c r="B55" s="51">
        <v>146.86901411950794</v>
      </c>
      <c r="C55" s="52">
        <v>2.1366045507208722</v>
      </c>
      <c r="D55" s="52">
        <v>2.4683697884888738</v>
      </c>
      <c r="E55" s="52">
        <f t="shared" si="0"/>
        <v>0</v>
      </c>
      <c r="F55" s="52">
        <f t="shared" si="1"/>
        <v>0</v>
      </c>
      <c r="G55" s="52">
        <f t="shared" si="2"/>
        <v>0</v>
      </c>
    </row>
    <row r="56" spans="1:7">
      <c r="A56" s="50">
        <v>55</v>
      </c>
      <c r="B56" s="51">
        <v>149.00561867022881</v>
      </c>
      <c r="C56" s="52">
        <v>2.1403558749456706</v>
      </c>
      <c r="D56" s="52">
        <v>2.4821321024900098</v>
      </c>
      <c r="E56" s="52">
        <f t="shared" si="0"/>
        <v>0</v>
      </c>
      <c r="F56" s="52">
        <f t="shared" si="1"/>
        <v>0</v>
      </c>
      <c r="G56" s="52">
        <f t="shared" si="2"/>
        <v>0</v>
      </c>
    </row>
    <row r="57" spans="1:7">
      <c r="A57" s="50">
        <v>56</v>
      </c>
      <c r="B57" s="51">
        <v>151.14597454517445</v>
      </c>
      <c r="C57" s="52">
        <v>2.1438196077964045</v>
      </c>
      <c r="D57" s="52">
        <v>2.4958219160536821</v>
      </c>
      <c r="E57" s="52">
        <f t="shared" si="0"/>
        <v>0</v>
      </c>
      <c r="F57" s="52">
        <f t="shared" si="1"/>
        <v>0</v>
      </c>
      <c r="G57" s="52">
        <f t="shared" si="2"/>
        <v>0</v>
      </c>
    </row>
    <row r="58" spans="1:7">
      <c r="A58" s="50">
        <v>57</v>
      </c>
      <c r="B58" s="51">
        <v>153.28979415297087</v>
      </c>
      <c r="C58" s="52">
        <v>2.1469989966563081</v>
      </c>
      <c r="D58" s="52">
        <v>2.5094443914247972</v>
      </c>
      <c r="E58" s="52">
        <f t="shared" si="0"/>
        <v>0</v>
      </c>
      <c r="F58" s="52">
        <f t="shared" si="1"/>
        <v>0</v>
      </c>
      <c r="G58" s="52">
        <f t="shared" si="2"/>
        <v>0</v>
      </c>
    </row>
    <row r="59" spans="1:7">
      <c r="A59" s="50">
        <v>58</v>
      </c>
      <c r="B59" s="51">
        <v>155.43679314962719</v>
      </c>
      <c r="C59" s="52">
        <v>2.1498973465113447</v>
      </c>
      <c r="D59" s="52">
        <v>2.5230047003005902</v>
      </c>
      <c r="E59" s="52">
        <f t="shared" si="0"/>
        <v>0</v>
      </c>
      <c r="F59" s="52">
        <f t="shared" si="1"/>
        <v>0</v>
      </c>
      <c r="G59" s="52">
        <f t="shared" si="2"/>
        <v>0</v>
      </c>
    </row>
    <row r="60" spans="1:7">
      <c r="A60" s="50">
        <v>59</v>
      </c>
      <c r="B60" s="51">
        <v>157.58669049613854</v>
      </c>
      <c r="C60" s="52">
        <v>2.1525180165895303</v>
      </c>
      <c r="D60" s="52">
        <v>2.5365080165325091</v>
      </c>
      <c r="E60" s="52">
        <f t="shared" si="0"/>
        <v>0</v>
      </c>
      <c r="F60" s="52">
        <f t="shared" si="1"/>
        <v>0</v>
      </c>
      <c r="G60" s="52">
        <f t="shared" si="2"/>
        <v>0</v>
      </c>
    </row>
    <row r="61" spans="1:7">
      <c r="A61" s="50">
        <v>60</v>
      </c>
      <c r="B61" s="51">
        <v>159.73920851272806</v>
      </c>
      <c r="C61" s="52">
        <v>2.1548644170447422</v>
      </c>
      <c r="D61" s="52">
        <v>2.5499595091811988</v>
      </c>
      <c r="E61" s="52">
        <f t="shared" si="0"/>
        <v>0</v>
      </c>
      <c r="F61" s="52">
        <f t="shared" si="1"/>
        <v>0</v>
      </c>
      <c r="G61" s="52">
        <f t="shared" si="2"/>
        <v>0</v>
      </c>
    </row>
    <row r="62" spans="1:7">
      <c r="A62" s="50">
        <v>61</v>
      </c>
      <c r="B62" s="51">
        <v>161.89407292977279</v>
      </c>
      <c r="C62" s="52">
        <v>2.1569400056866819</v>
      </c>
      <c r="D62" s="52">
        <v>2.5633643359267735</v>
      </c>
      <c r="E62" s="52">
        <f t="shared" si="0"/>
        <v>0</v>
      </c>
      <c r="F62" s="52">
        <f t="shared" si="1"/>
        <v>0</v>
      </c>
      <c r="G62" s="52">
        <f t="shared" si="2"/>
        <v>0</v>
      </c>
    </row>
    <row r="63" spans="1:7">
      <c r="A63" s="50">
        <v>62</v>
      </c>
      <c r="B63" s="51">
        <v>164.05101293545948</v>
      </c>
      <c r="C63" s="52">
        <v>2.1587482847595365</v>
      </c>
      <c r="D63" s="52">
        <v>2.5767276368339251</v>
      </c>
      <c r="E63" s="52">
        <f t="shared" si="0"/>
        <v>0</v>
      </c>
      <c r="F63" s="52">
        <f t="shared" si="1"/>
        <v>0</v>
      </c>
      <c r="G63" s="52">
        <f t="shared" si="2"/>
        <v>0</v>
      </c>
    </row>
    <row r="64" spans="1:7">
      <c r="A64" s="50">
        <v>63</v>
      </c>
      <c r="B64" s="51">
        <v>166.20976122021901</v>
      </c>
      <c r="C64" s="52">
        <v>2.1602927977713917</v>
      </c>
      <c r="D64" s="52">
        <v>2.5900545284706515</v>
      </c>
      <c r="E64" s="52">
        <f t="shared" si="0"/>
        <v>0</v>
      </c>
      <c r="F64" s="52">
        <f t="shared" si="1"/>
        <v>0</v>
      </c>
      <c r="G64" s="52">
        <f t="shared" si="2"/>
        <v>0</v>
      </c>
    </row>
    <row r="65" spans="1:7">
      <c r="A65" s="50">
        <v>64</v>
      </c>
      <c r="B65" s="51">
        <v>168.37005401799041</v>
      </c>
      <c r="C65" s="52">
        <v>2.1615771263758314</v>
      </c>
      <c r="D65" s="52">
        <v>2.6033500983785713</v>
      </c>
      <c r="E65" s="52">
        <f t="shared" si="0"/>
        <v>0</v>
      </c>
      <c r="F65" s="52">
        <f t="shared" si="1"/>
        <v>0</v>
      </c>
      <c r="G65" s="52">
        <f t="shared" si="2"/>
        <v>0</v>
      </c>
    </row>
    <row r="66" spans="1:7">
      <c r="A66" s="50">
        <v>65</v>
      </c>
      <c r="B66" s="51">
        <v>170.53163114436626</v>
      </c>
      <c r="C66" s="52">
        <v>2.1626048873079484</v>
      </c>
      <c r="D66" s="52">
        <v>2.6166193998906926</v>
      </c>
      <c r="E66" s="52">
        <f t="shared" si="0"/>
        <v>0</v>
      </c>
      <c r="F66" s="52">
        <f t="shared" si="1"/>
        <v>0</v>
      </c>
      <c r="G66" s="52">
        <f t="shared" si="2"/>
        <v>0</v>
      </c>
    </row>
    <row r="67" spans="1:7">
      <c r="A67" s="50">
        <v>66</v>
      </c>
      <c r="B67" s="51">
        <v>172.69423603167419</v>
      </c>
      <c r="C67" s="52">
        <v>2.1633797293767043</v>
      </c>
      <c r="D67" s="52">
        <v>2.6298674472915557</v>
      </c>
      <c r="E67" s="52">
        <f t="shared" ref="E67:E130" si="3">C67*$E$162</f>
        <v>0</v>
      </c>
      <c r="F67" s="52">
        <f t="shared" ref="F67:F130" si="4">(D67*$E$163)</f>
        <v>0</v>
      </c>
      <c r="G67" s="52">
        <f t="shared" ref="G67:G130" si="5">E67*F67</f>
        <v>0</v>
      </c>
    </row>
    <row r="68" spans="1:7">
      <c r="A68" s="50">
        <v>67</v>
      </c>
      <c r="B68" s="51">
        <v>174.85761576105091</v>
      </c>
      <c r="C68" s="52">
        <v>2.1639053305136966</v>
      </c>
      <c r="D68" s="52">
        <v>2.6430992113158571</v>
      </c>
      <c r="E68" s="52">
        <f t="shared" si="3"/>
        <v>0</v>
      </c>
      <c r="F68" s="52">
        <f t="shared" si="4"/>
        <v>0</v>
      </c>
      <c r="G68" s="52">
        <f t="shared" si="5"/>
        <v>0</v>
      </c>
    </row>
    <row r="69" spans="1:7">
      <c r="A69" s="50">
        <v>68</v>
      </c>
      <c r="B69" s="51">
        <v>177.02152109156458</v>
      </c>
      <c r="C69" s="52">
        <v>2.1641853948821135</v>
      </c>
      <c r="D69" s="52">
        <v>2.6563196149760846</v>
      </c>
      <c r="E69" s="52">
        <f t="shared" si="3"/>
        <v>0</v>
      </c>
      <c r="F69" s="52">
        <f t="shared" si="4"/>
        <v>0</v>
      </c>
      <c r="G69" s="52">
        <f t="shared" si="5"/>
        <v>0</v>
      </c>
    </row>
    <row r="70" spans="1:7">
      <c r="A70" s="50">
        <v>69</v>
      </c>
      <c r="B70" s="51">
        <v>179.18570648644669</v>
      </c>
      <c r="C70" s="52">
        <v>2.1642236500443088</v>
      </c>
      <c r="D70" s="52">
        <v>2.6695335297153084</v>
      </c>
      <c r="E70" s="52">
        <f t="shared" si="3"/>
        <v>0</v>
      </c>
      <c r="F70" s="52">
        <f t="shared" si="4"/>
        <v>0</v>
      </c>
      <c r="G70" s="52">
        <f t="shared" si="5"/>
        <v>0</v>
      </c>
    </row>
    <row r="71" spans="1:7">
      <c r="A71" s="50">
        <v>70</v>
      </c>
      <c r="B71" s="51">
        <v>181.34993013649103</v>
      </c>
      <c r="C71" s="52">
        <v>2.1640238441916027</v>
      </c>
      <c r="D71" s="52">
        <v>2.6827457718740759</v>
      </c>
      <c r="E71" s="52">
        <f t="shared" si="3"/>
        <v>0</v>
      </c>
      <c r="F71" s="52">
        <f t="shared" si="4"/>
        <v>0</v>
      </c>
      <c r="G71" s="52">
        <f t="shared" si="5"/>
        <v>0</v>
      </c>
    </row>
    <row r="72" spans="1:7">
      <c r="A72" s="50">
        <v>71</v>
      </c>
      <c r="B72" s="51">
        <v>183.5139539806826</v>
      </c>
      <c r="C72" s="52">
        <v>2.1635897434357303</v>
      </c>
      <c r="D72" s="52">
        <v>2.6959610994646797</v>
      </c>
      <c r="E72" s="52">
        <f t="shared" si="3"/>
        <v>0</v>
      </c>
      <c r="F72" s="52">
        <f t="shared" si="4"/>
        <v>0</v>
      </c>
      <c r="G72" s="52">
        <f t="shared" si="5"/>
        <v>0</v>
      </c>
    </row>
    <row r="73" spans="1:7">
      <c r="A73" s="50">
        <v>72</v>
      </c>
      <c r="B73" s="51">
        <v>185.67754372411832</v>
      </c>
      <c r="C73" s="52">
        <v>2.1629251291635767</v>
      </c>
      <c r="D73" s="52">
        <v>2.7091842092427312</v>
      </c>
      <c r="E73" s="52">
        <f t="shared" si="3"/>
        <v>0</v>
      </c>
      <c r="F73" s="52">
        <f t="shared" si="4"/>
        <v>0</v>
      </c>
      <c r="G73" s="52">
        <f t="shared" si="5"/>
        <v>0</v>
      </c>
    </row>
    <row r="74" spans="1:7">
      <c r="A74" s="50">
        <v>73</v>
      </c>
      <c r="B74" s="51">
        <v>187.84046885328189</v>
      </c>
      <c r="C74" s="52">
        <v>2.1620337954553839</v>
      </c>
      <c r="D74" s="52">
        <v>2.7224197340671092</v>
      </c>
      <c r="E74" s="52">
        <f t="shared" si="3"/>
        <v>0</v>
      </c>
      <c r="F74" s="52">
        <f t="shared" si="4"/>
        <v>0</v>
      </c>
      <c r="G74" s="52">
        <f t="shared" si="5"/>
        <v>0</v>
      </c>
    </row>
    <row r="75" spans="1:7">
      <c r="A75" s="50">
        <v>74</v>
      </c>
      <c r="B75" s="51">
        <v>190.00250264873728</v>
      </c>
      <c r="C75" s="52">
        <v>2.1609195465678566</v>
      </c>
      <c r="D75" s="52">
        <v>2.7356722405372746</v>
      </c>
      <c r="E75" s="52">
        <f t="shared" si="3"/>
        <v>0</v>
      </c>
      <c r="F75" s="52">
        <f t="shared" si="4"/>
        <v>0</v>
      </c>
      <c r="G75" s="52">
        <f t="shared" si="5"/>
        <v>0</v>
      </c>
    </row>
    <row r="76" spans="1:7">
      <c r="A76" s="50">
        <v>75</v>
      </c>
      <c r="B76" s="51">
        <v>192.16342219530515</v>
      </c>
      <c r="C76" s="52">
        <v>2.1595861944822152</v>
      </c>
      <c r="D76" s="52">
        <v>2.7489462268982807</v>
      </c>
      <c r="E76" s="52">
        <f t="shared" si="3"/>
        <v>0</v>
      </c>
      <c r="F76" s="52">
        <f t="shared" si="4"/>
        <v>0</v>
      </c>
      <c r="G76" s="52">
        <f t="shared" si="5"/>
        <v>0</v>
      </c>
    </row>
    <row r="77" spans="1:7">
      <c r="A77" s="50">
        <v>76</v>
      </c>
      <c r="B77" s="51">
        <v>194.32300838978736</v>
      </c>
      <c r="C77" s="52">
        <v>2.1580375565170566</v>
      </c>
      <c r="D77" s="52">
        <v>2.7622461212035176</v>
      </c>
      <c r="E77" s="52">
        <f t="shared" si="3"/>
        <v>0</v>
      </c>
      <c r="F77" s="52">
        <f t="shared" si="4"/>
        <v>0</v>
      </c>
      <c r="G77" s="52">
        <f t="shared" si="5"/>
        <v>0</v>
      </c>
    </row>
    <row r="78" spans="1:7">
      <c r="A78" s="50">
        <v>77</v>
      </c>
      <c r="B78" s="51">
        <v>196.48104594630445</v>
      </c>
      <c r="C78" s="52">
        <v>2.1562774530079691</v>
      </c>
      <c r="D78" s="52">
        <v>2.7755762797224941</v>
      </c>
      <c r="E78" s="52">
        <f t="shared" si="3"/>
        <v>0</v>
      </c>
      <c r="F78" s="52">
        <f t="shared" si="4"/>
        <v>0</v>
      </c>
      <c r="G78" s="52">
        <f t="shared" si="5"/>
        <v>0</v>
      </c>
    </row>
    <row r="79" spans="1:7">
      <c r="A79" s="50">
        <v>78</v>
      </c>
      <c r="B79" s="51">
        <v>198.63732339931238</v>
      </c>
      <c r="C79" s="52">
        <v>2.1543097050526248</v>
      </c>
      <c r="D79" s="52">
        <v>2.7889409855845533</v>
      </c>
      <c r="E79" s="52">
        <f t="shared" si="3"/>
        <v>0</v>
      </c>
      <c r="F79" s="52">
        <f t="shared" si="4"/>
        <v>0</v>
      </c>
      <c r="G79" s="52">
        <f t="shared" si="5"/>
        <v>0</v>
      </c>
    </row>
    <row r="80" spans="1:7">
      <c r="A80" s="50">
        <v>79</v>
      </c>
      <c r="B80" s="51">
        <v>200.79163310436505</v>
      </c>
      <c r="C80" s="52">
        <v>2.1521381323218045</v>
      </c>
      <c r="D80" s="52">
        <v>2.8023444476472212</v>
      </c>
      <c r="E80" s="52">
        <f t="shared" si="3"/>
        <v>0</v>
      </c>
      <c r="F80" s="52">
        <f t="shared" si="4"/>
        <v>0</v>
      </c>
      <c r="G80" s="52">
        <f t="shared" si="5"/>
        <v>0</v>
      </c>
    </row>
    <row r="81" spans="1:14">
      <c r="A81" s="50">
        <v>80</v>
      </c>
      <c r="B81" s="51">
        <v>202.94377123668681</v>
      </c>
      <c r="C81" s="52">
        <v>2.1497665509371253</v>
      </c>
      <c r="D81" s="52">
        <v>2.8157907995772242</v>
      </c>
      <c r="E81" s="52">
        <f t="shared" si="3"/>
        <v>0</v>
      </c>
      <c r="F81" s="52">
        <f t="shared" si="4"/>
        <v>0</v>
      </c>
      <c r="G81" s="52">
        <f t="shared" si="5"/>
        <v>0</v>
      </c>
    </row>
    <row r="82" spans="1:14">
      <c r="A82" s="50">
        <v>81</v>
      </c>
      <c r="B82" s="51">
        <v>205.09353778762392</v>
      </c>
      <c r="C82" s="52">
        <v>2.1471987714146787</v>
      </c>
      <c r="D82" s="52">
        <v>2.8292840991341284</v>
      </c>
      <c r="E82" s="52">
        <f t="shared" si="3"/>
        <v>0</v>
      </c>
      <c r="F82" s="52">
        <f t="shared" si="4"/>
        <v>0</v>
      </c>
      <c r="G82" s="52">
        <f t="shared" si="5"/>
        <v>0</v>
      </c>
    </row>
    <row r="83" spans="1:14">
      <c r="A83" s="50">
        <v>82</v>
      </c>
      <c r="B83" s="51">
        <v>207.24073655903865</v>
      </c>
      <c r="C83" s="52">
        <v>2.1444385966747892</v>
      </c>
      <c r="D83" s="52">
        <v>2.8428283276453667</v>
      </c>
      <c r="E83" s="52">
        <f t="shared" si="3"/>
        <v>0</v>
      </c>
      <c r="F83" s="52">
        <f t="shared" si="4"/>
        <v>0</v>
      </c>
      <c r="G83" s="52">
        <f t="shared" si="5"/>
        <v>0</v>
      </c>
    </row>
    <row r="84" spans="1:14">
      <c r="A84" s="50">
        <v>83</v>
      </c>
      <c r="B84" s="51">
        <v>209.38517515571345</v>
      </c>
      <c r="C84" s="52">
        <v>2.1414898201171337</v>
      </c>
      <c r="D84" s="52">
        <v>2.8564273896624899</v>
      </c>
      <c r="E84" s="52">
        <f t="shared" si="3"/>
        <v>0</v>
      </c>
      <c r="F84" s="52">
        <f t="shared" si="4"/>
        <v>0</v>
      </c>
      <c r="G84" s="52">
        <f t="shared" si="5"/>
        <v>0</v>
      </c>
    </row>
    <row r="85" spans="1:14">
      <c r="A85" s="50">
        <v>84</v>
      </c>
      <c r="B85" s="51">
        <v>211.52666497583056</v>
      </c>
      <c r="C85" s="52">
        <v>2.1383562237623011</v>
      </c>
      <c r="D85" s="52">
        <v>2.8700851127862266</v>
      </c>
      <c r="E85" s="52">
        <f t="shared" si="3"/>
        <v>0</v>
      </c>
      <c r="F85" s="52">
        <f t="shared" si="4"/>
        <v>0</v>
      </c>
      <c r="G85" s="52">
        <f t="shared" si="5"/>
        <v>0</v>
      </c>
    </row>
    <row r="86" spans="1:14">
      <c r="A86" s="50">
        <v>85</v>
      </c>
      <c r="B86" s="51">
        <v>213.66502119959284</v>
      </c>
      <c r="C86" s="52">
        <v>2.1350415764576511</v>
      </c>
      <c r="D86" s="52">
        <v>2.8838052476522908</v>
      </c>
      <c r="E86" s="52">
        <f t="shared" si="3"/>
        <v>0</v>
      </c>
      <c r="F86" s="52">
        <f t="shared" si="4"/>
        <v>0</v>
      </c>
      <c r="G86" s="52">
        <f t="shared" si="5"/>
        <v>0</v>
      </c>
    </row>
    <row r="87" spans="1:14">
      <c r="A87" s="50">
        <v>86</v>
      </c>
      <c r="B87" s="51">
        <v>215.80006277605051</v>
      </c>
      <c r="C87" s="52">
        <v>2.1315496321482441</v>
      </c>
      <c r="D87" s="52">
        <v>2.8975914680659951</v>
      </c>
      <c r="E87" s="52">
        <f t="shared" si="3"/>
        <v>0</v>
      </c>
      <c r="F87" s="52">
        <f t="shared" si="4"/>
        <v>0</v>
      </c>
      <c r="G87" s="52">
        <f t="shared" si="5"/>
        <v>0</v>
      </c>
    </row>
    <row r="88" spans="1:14">
      <c r="A88" s="50">
        <v>87</v>
      </c>
      <c r="B88" s="51">
        <v>217.93161240819876</v>
      </c>
      <c r="C88" s="52">
        <v>2.127884128211968</v>
      </c>
      <c r="D88" s="52">
        <v>2.9114473712762936</v>
      </c>
      <c r="E88" s="52">
        <f t="shared" si="3"/>
        <v>0</v>
      </c>
      <c r="F88" s="52">
        <f t="shared" si="4"/>
        <v>0</v>
      </c>
      <c r="G88" s="52">
        <f t="shared" si="5"/>
        <v>0</v>
      </c>
    </row>
    <row r="89" spans="1:14">
      <c r="A89" s="50">
        <v>88</v>
      </c>
      <c r="B89" s="51">
        <v>220.05949653641073</v>
      </c>
      <c r="C89" s="52">
        <v>2.1240487838589477</v>
      </c>
      <c r="D89" s="52">
        <v>2.9253764783784453</v>
      </c>
      <c r="E89" s="52">
        <f t="shared" si="3"/>
        <v>0</v>
      </c>
      <c r="F89" s="52">
        <f t="shared" si="4"/>
        <v>0</v>
      </c>
      <c r="G89" s="52">
        <f t="shared" si="5"/>
        <v>0</v>
      </c>
      <c r="M89" s="52"/>
      <c r="N89" s="57"/>
    </row>
    <row r="90" spans="1:14">
      <c r="A90" s="50">
        <v>89</v>
      </c>
      <c r="B90" s="51">
        <v>222.18354532026967</v>
      </c>
      <c r="C90" s="52">
        <v>2.1200472985924739</v>
      </c>
      <c r="D90" s="52">
        <v>2.9393822348389151</v>
      </c>
      <c r="E90" s="52">
        <f t="shared" si="3"/>
        <v>0</v>
      </c>
      <c r="F90" s="52">
        <f t="shared" si="4"/>
        <v>0</v>
      </c>
      <c r="G90" s="52">
        <f t="shared" si="5"/>
        <v>0</v>
      </c>
      <c r="M90" s="52"/>
      <c r="N90" s="57"/>
    </row>
    <row r="91" spans="1:14">
      <c r="A91" s="50">
        <v>90</v>
      </c>
      <c r="B91" s="51">
        <v>224.30359261886213</v>
      </c>
      <c r="C91" s="52">
        <v>2.1158833507339514</v>
      </c>
      <c r="D91" s="52">
        <v>2.9534680111288392</v>
      </c>
      <c r="E91" s="52">
        <f t="shared" si="3"/>
        <v>0</v>
      </c>
      <c r="F91" s="52">
        <f t="shared" si="4"/>
        <v>0</v>
      </c>
      <c r="G91" s="52">
        <f t="shared" si="5"/>
        <v>0</v>
      </c>
      <c r="M91" s="52"/>
      <c r="N91" s="57"/>
    </row>
    <row r="92" spans="1:14">
      <c r="A92" s="50">
        <v>91</v>
      </c>
      <c r="B92" s="51">
        <v>226.41947596959608</v>
      </c>
      <c r="C92" s="52">
        <v>2.1115605960087822</v>
      </c>
      <c r="D92" s="52">
        <v>2.967637103460488</v>
      </c>
      <c r="E92" s="52">
        <f t="shared" si="3"/>
        <v>0</v>
      </c>
      <c r="F92" s="52">
        <f t="shared" si="4"/>
        <v>0</v>
      </c>
      <c r="G92" s="52">
        <f t="shared" si="5"/>
        <v>0</v>
      </c>
      <c r="M92" s="52"/>
      <c r="N92" s="57"/>
    </row>
    <row r="93" spans="1:14">
      <c r="A93" s="50">
        <v>92</v>
      </c>
      <c r="B93" s="51">
        <v>228.53103656560486</v>
      </c>
      <c r="C93" s="52">
        <v>2.1070826661928792</v>
      </c>
      <c r="D93" s="52">
        <v>2.9818927346175288</v>
      </c>
      <c r="E93" s="52">
        <f t="shared" si="3"/>
        <v>0</v>
      </c>
      <c r="F93" s="52">
        <f t="shared" si="4"/>
        <v>0</v>
      </c>
      <c r="G93" s="52">
        <f t="shared" si="5"/>
        <v>0</v>
      </c>
      <c r="M93" s="52"/>
      <c r="N93" s="57"/>
    </row>
    <row r="94" spans="1:14">
      <c r="A94" s="50">
        <v>93</v>
      </c>
      <c r="B94" s="51">
        <v>230.63811923179776</v>
      </c>
      <c r="C94" s="52">
        <v>2.1024531678196072</v>
      </c>
      <c r="D94" s="52">
        <v>2.9962380548698646</v>
      </c>
      <c r="E94" s="52">
        <f t="shared" si="3"/>
        <v>0</v>
      </c>
      <c r="F94" s="52">
        <f t="shared" si="4"/>
        <v>0</v>
      </c>
      <c r="G94" s="52">
        <f t="shared" si="5"/>
        <v>0</v>
      </c>
      <c r="M94" s="52"/>
      <c r="N94" s="57"/>
    </row>
    <row r="95" spans="1:14">
      <c r="A95" s="50">
        <v>94</v>
      </c>
      <c r="B95" s="51">
        <v>232.74057239961735</v>
      </c>
      <c r="C95" s="52">
        <v>2.0976756809459109</v>
      </c>
      <c r="D95" s="52">
        <v>3.0106761429658948</v>
      </c>
      <c r="E95" s="52">
        <f t="shared" si="3"/>
        <v>0</v>
      </c>
      <c r="F95" s="52">
        <f t="shared" si="4"/>
        <v>0</v>
      </c>
      <c r="G95" s="52">
        <f t="shared" si="5"/>
        <v>0</v>
      </c>
      <c r="M95" s="52"/>
    </row>
    <row r="96" spans="1:14">
      <c r="A96" s="50">
        <v>95</v>
      </c>
      <c r="B96" s="51">
        <v>234.83824808056326</v>
      </c>
      <c r="C96" s="52">
        <v>2.092753757976348</v>
      </c>
      <c r="D96" s="52">
        <v>3.0252100071949033</v>
      </c>
      <c r="E96" s="52">
        <f t="shared" si="3"/>
        <v>0</v>
      </c>
      <c r="F96" s="52">
        <f t="shared" si="4"/>
        <v>0</v>
      </c>
      <c r="G96" s="52">
        <f t="shared" si="5"/>
        <v>0</v>
      </c>
      <c r="M96" s="52"/>
    </row>
    <row r="97" spans="1:7">
      <c r="A97" s="50">
        <v>96</v>
      </c>
      <c r="B97" s="51">
        <v>236.93100183853963</v>
      </c>
      <c r="C97" s="52">
        <v>2.0876909225449634</v>
      </c>
      <c r="D97" s="52">
        <v>3.0398425865113508</v>
      </c>
      <c r="E97" s="52">
        <f t="shared" si="3"/>
        <v>0</v>
      </c>
      <c r="F97" s="52">
        <f t="shared" si="4"/>
        <v>0</v>
      </c>
      <c r="G97" s="52">
        <f t="shared" si="5"/>
        <v>0</v>
      </c>
    </row>
    <row r="98" spans="1:7">
      <c r="A98" s="50">
        <v>97</v>
      </c>
      <c r="B98" s="51">
        <v>239.01869276108459</v>
      </c>
      <c r="C98" s="52">
        <v>2.0824906684528779</v>
      </c>
      <c r="D98" s="52">
        <v>3.0545767517156248</v>
      </c>
      <c r="E98" s="52">
        <f t="shared" si="3"/>
        <v>0</v>
      </c>
      <c r="F98" s="52">
        <f t="shared" si="4"/>
        <v>0</v>
      </c>
      <c r="G98" s="52">
        <f t="shared" si="5"/>
        <v>0</v>
      </c>
    </row>
    <row r="99" spans="1:7">
      <c r="A99" s="50">
        <v>98</v>
      </c>
      <c r="B99" s="51">
        <v>241.10118342953746</v>
      </c>
      <c r="C99" s="52">
        <v>2.0771564586619724</v>
      </c>
      <c r="D99" s="52">
        <v>3.0694153066828571</v>
      </c>
      <c r="E99" s="52">
        <f t="shared" si="3"/>
        <v>0</v>
      </c>
      <c r="F99" s="52">
        <f t="shared" si="4"/>
        <v>0</v>
      </c>
      <c r="G99" s="52">
        <f t="shared" si="5"/>
        <v>0</v>
      </c>
    </row>
    <row r="100" spans="1:7">
      <c r="A100" s="50">
        <v>99</v>
      </c>
      <c r="B100" s="51">
        <v>243.17833988819945</v>
      </c>
      <c r="C100" s="52">
        <v>2.071691724342045</v>
      </c>
      <c r="D100" s="52">
        <v>3.0843609896358766</v>
      </c>
      <c r="E100" s="52">
        <f t="shared" si="3"/>
        <v>0</v>
      </c>
      <c r="F100" s="52">
        <f t="shared" si="4"/>
        <v>0</v>
      </c>
      <c r="G100" s="52">
        <f t="shared" si="5"/>
        <v>0</v>
      </c>
    </row>
    <row r="101" spans="1:7">
      <c r="A101" s="50">
        <v>100</v>
      </c>
      <c r="B101" s="51">
        <v>245.25003161254148</v>
      </c>
      <c r="C101" s="52">
        <v>2.0660998639718531</v>
      </c>
      <c r="D101" s="52">
        <v>3.099416474454173</v>
      </c>
      <c r="E101" s="52">
        <f t="shared" si="3"/>
        <v>0</v>
      </c>
      <c r="F101" s="52">
        <f t="shared" si="4"/>
        <v>0</v>
      </c>
      <c r="G101" s="52">
        <f t="shared" si="5"/>
        <v>0</v>
      </c>
    </row>
    <row r="102" spans="1:7">
      <c r="A102" s="50">
        <v>101</v>
      </c>
      <c r="B102" s="51">
        <v>247.31613147651333</v>
      </c>
      <c r="C102" s="52">
        <v>2.0603842424922711</v>
      </c>
      <c r="D102" s="52">
        <v>3.114584372014503</v>
      </c>
      <c r="E102" s="52">
        <f t="shared" si="3"/>
        <v>0</v>
      </c>
      <c r="F102" s="52">
        <f t="shared" si="4"/>
        <v>0</v>
      </c>
      <c r="G102" s="52">
        <f t="shared" si="5"/>
        <v>0</v>
      </c>
    </row>
    <row r="103" spans="1:7">
      <c r="A103" s="50">
        <v>102</v>
      </c>
      <c r="B103" s="51">
        <v>249.37651571900562</v>
      </c>
      <c r="C103" s="52">
        <v>2.0545481905098684</v>
      </c>
      <c r="D103" s="52">
        <v>3.1298672315586828</v>
      </c>
      <c r="E103" s="52">
        <f t="shared" si="3"/>
        <v>0</v>
      </c>
      <c r="F103" s="52">
        <f t="shared" si="4"/>
        <v>0</v>
      </c>
      <c r="G103" s="52">
        <f t="shared" si="5"/>
        <v>0</v>
      </c>
    </row>
    <row r="104" spans="1:7">
      <c r="A104" s="50">
        <v>103</v>
      </c>
      <c r="B104" s="51">
        <v>251.43106390951547</v>
      </c>
      <c r="C104" s="52">
        <v>2.0485950035514602</v>
      </c>
      <c r="D104" s="52">
        <v>3.1452675420811862</v>
      </c>
      <c r="E104" s="52">
        <f t="shared" si="3"/>
        <v>0</v>
      </c>
      <c r="F104" s="52">
        <f t="shared" si="4"/>
        <v>0</v>
      </c>
      <c r="G104" s="52">
        <f t="shared" si="5"/>
        <v>0</v>
      </c>
    </row>
    <row r="105" spans="1:7">
      <c r="A105" s="50">
        <v>104</v>
      </c>
      <c r="B105" s="51">
        <v>253.47965891306694</v>
      </c>
      <c r="C105" s="52">
        <v>2.0425279413664228</v>
      </c>
      <c r="D105" s="52">
        <v>3.160787733735142</v>
      </c>
      <c r="E105" s="52">
        <f t="shared" si="3"/>
        <v>0</v>
      </c>
      <c r="F105" s="52">
        <f t="shared" si="4"/>
        <v>0</v>
      </c>
      <c r="G105" s="52">
        <f t="shared" si="5"/>
        <v>0</v>
      </c>
    </row>
    <row r="106" spans="1:7">
      <c r="A106" s="50">
        <v>105</v>
      </c>
      <c r="B106" s="51">
        <v>255.52218685443336</v>
      </c>
      <c r="C106" s="52">
        <v>2.0363502272775107</v>
      </c>
      <c r="D106" s="52">
        <v>3.1764301792494694</v>
      </c>
      <c r="E106" s="52">
        <f t="shared" si="3"/>
        <v>0</v>
      </c>
      <c r="F106" s="52">
        <f t="shared" si="4"/>
        <v>0</v>
      </c>
      <c r="G106" s="52">
        <f t="shared" si="5"/>
        <v>0</v>
      </c>
    </row>
    <row r="107" spans="1:7">
      <c r="A107" s="50">
        <v>106</v>
      </c>
      <c r="B107" s="51">
        <v>257.55853708171082</v>
      </c>
      <c r="C107" s="52">
        <v>2.0300650475777386</v>
      </c>
      <c r="D107" s="52">
        <v>3.1921971953551722</v>
      </c>
      <c r="E107" s="52">
        <f t="shared" si="3"/>
        <v>0</v>
      </c>
      <c r="F107" s="52">
        <f t="shared" si="4"/>
        <v>0</v>
      </c>
      <c r="G107" s="52">
        <f t="shared" si="5"/>
        <v>0</v>
      </c>
    </row>
    <row r="108" spans="1:7">
      <c r="A108" s="50">
        <v>107</v>
      </c>
      <c r="B108" s="51">
        <v>259.58860212928857</v>
      </c>
      <c r="C108" s="52">
        <v>2.0236755509726958</v>
      </c>
      <c r="D108" s="52">
        <v>3.2080910442162622</v>
      </c>
      <c r="E108" s="52">
        <f t="shared" si="3"/>
        <v>0</v>
      </c>
      <c r="F108" s="52">
        <f t="shared" si="4"/>
        <v>0</v>
      </c>
      <c r="G108" s="52">
        <f t="shared" si="5"/>
        <v>0</v>
      </c>
    </row>
    <row r="109" spans="1:7">
      <c r="A109" s="50">
        <v>108</v>
      </c>
      <c r="B109" s="51">
        <v>261.61227768026129</v>
      </c>
      <c r="C109" s="52">
        <v>2.0171848480671395</v>
      </c>
      <c r="D109" s="52">
        <v>3.224113934861724</v>
      </c>
      <c r="E109" s="52">
        <f t="shared" si="3"/>
        <v>0</v>
      </c>
      <c r="F109" s="52">
        <f t="shared" si="4"/>
        <v>0</v>
      </c>
      <c r="G109" s="52">
        <f t="shared" si="5"/>
        <v>0</v>
      </c>
    </row>
    <row r="110" spans="1:7">
      <c r="A110" s="50">
        <v>109</v>
      </c>
      <c r="B110" s="51">
        <v>263.62946252832842</v>
      </c>
      <c r="C110" s="52">
        <v>2.010596010894639</v>
      </c>
      <c r="D110" s="52">
        <v>3.2402680246155797</v>
      </c>
      <c r="E110" s="52">
        <f t="shared" si="3"/>
        <v>0</v>
      </c>
      <c r="F110" s="52">
        <f t="shared" si="4"/>
        <v>0</v>
      </c>
      <c r="G110" s="52">
        <f t="shared" si="5"/>
        <v>0</v>
      </c>
    </row>
    <row r="111" spans="1:7">
      <c r="A111" s="50">
        <v>110</v>
      </c>
      <c r="B111" s="51">
        <v>265.64005853922311</v>
      </c>
      <c r="C111" s="52">
        <v>2.0039120724887907</v>
      </c>
      <c r="D111" s="52">
        <v>3.2565554205223783</v>
      </c>
      <c r="E111" s="52">
        <f t="shared" si="3"/>
        <v>0</v>
      </c>
      <c r="F111" s="52">
        <f t="shared" si="4"/>
        <v>0</v>
      </c>
      <c r="G111" s="52">
        <f t="shared" si="5"/>
        <v>0</v>
      </c>
    </row>
    <row r="112" spans="1:7">
      <c r="A112" s="50">
        <v>111</v>
      </c>
      <c r="B112" s="51">
        <v>267.64397061171189</v>
      </c>
      <c r="C112" s="52">
        <v>1.9971360264955158</v>
      </c>
      <c r="D112" s="52">
        <v>3.2729781807645</v>
      </c>
      <c r="E112" s="52">
        <f t="shared" si="3"/>
        <v>0</v>
      </c>
      <c r="F112" s="52">
        <f t="shared" si="4"/>
        <v>0</v>
      </c>
      <c r="G112" s="52">
        <f t="shared" si="5"/>
        <v>0</v>
      </c>
    </row>
    <row r="113" spans="1:7">
      <c r="A113" s="50">
        <v>112</v>
      </c>
      <c r="B113" s="51">
        <v>269.64110663820736</v>
      </c>
      <c r="C113" s="52">
        <v>1.9902708268246578</v>
      </c>
      <c r="D113" s="52">
        <v>3.2895383160696801</v>
      </c>
      <c r="E113" s="52">
        <f t="shared" si="3"/>
        <v>0</v>
      </c>
      <c r="F113" s="52">
        <f t="shared" si="4"/>
        <v>0</v>
      </c>
      <c r="G113" s="52">
        <f t="shared" si="5"/>
        <v>0</v>
      </c>
    </row>
    <row r="114" spans="1:7">
      <c r="A114" s="50">
        <v>113</v>
      </c>
      <c r="B114" s="51">
        <v>271.63137746503207</v>
      </c>
      <c r="C114" s="52">
        <v>1.9833193873395865</v>
      </c>
      <c r="D114" s="52">
        <v>3.3062377911066587</v>
      </c>
      <c r="E114" s="52">
        <f t="shared" si="3"/>
        <v>0</v>
      </c>
      <c r="F114" s="52">
        <f t="shared" si="4"/>
        <v>0</v>
      </c>
      <c r="G114" s="52">
        <f t="shared" si="5"/>
        <v>0</v>
      </c>
    </row>
    <row r="115" spans="1:7">
      <c r="A115" s="50">
        <v>114</v>
      </c>
      <c r="B115" s="51">
        <v>273.61469685237159</v>
      </c>
      <c r="C115" s="52">
        <v>1.9762845815848218</v>
      </c>
      <c r="D115" s="52">
        <v>3.3230785258650712</v>
      </c>
      <c r="E115" s="52">
        <f t="shared" si="3"/>
        <v>0</v>
      </c>
      <c r="F115" s="52">
        <f t="shared" si="4"/>
        <v>0</v>
      </c>
      <c r="G115" s="52">
        <f t="shared" si="5"/>
        <v>0</v>
      </c>
    </row>
    <row r="116" spans="1:7">
      <c r="A116" s="50">
        <v>115</v>
      </c>
      <c r="B116" s="51">
        <v>275.59098143395647</v>
      </c>
      <c r="C116" s="52">
        <v>1.9691692425489109</v>
      </c>
      <c r="D116" s="52">
        <v>3.3400623970203127</v>
      </c>
      <c r="E116" s="52">
        <f t="shared" si="3"/>
        <v>0</v>
      </c>
      <c r="F116" s="52">
        <f t="shared" si="4"/>
        <v>0</v>
      </c>
      <c r="G116" s="52">
        <f t="shared" si="5"/>
        <v>0</v>
      </c>
    </row>
    <row r="117" spans="1:7">
      <c r="A117" s="50">
        <v>116</v>
      </c>
      <c r="B117" s="51">
        <v>277.56015067650537</v>
      </c>
      <c r="C117" s="52">
        <v>1.9619761624623546</v>
      </c>
      <c r="D117" s="52">
        <v>3.3571912392801218</v>
      </c>
      <c r="E117" s="52">
        <f t="shared" si="3"/>
        <v>0</v>
      </c>
      <c r="F117" s="52">
        <f t="shared" si="4"/>
        <v>0</v>
      </c>
      <c r="G117" s="52">
        <f t="shared" si="5"/>
        <v>0</v>
      </c>
    </row>
    <row r="118" spans="1:7">
      <c r="A118" s="50">
        <v>117</v>
      </c>
      <c r="B118" s="51">
        <v>279.52212683896767</v>
      </c>
      <c r="C118" s="52">
        <v>1.9547080926295408</v>
      </c>
      <c r="D118" s="52">
        <v>3.374466846711262</v>
      </c>
      <c r="E118" s="52">
        <f t="shared" si="3"/>
        <v>0</v>
      </c>
      <c r="F118" s="52">
        <f t="shared" si="4"/>
        <v>0</v>
      </c>
      <c r="G118" s="52">
        <f t="shared" si="5"/>
        <v>0</v>
      </c>
    </row>
    <row r="119" spans="1:7">
      <c r="A119" s="50">
        <v>118</v>
      </c>
      <c r="B119" s="51">
        <v>281.4768349315973</v>
      </c>
      <c r="C119" s="52">
        <v>1.9473677432931209</v>
      </c>
      <c r="D119" s="52">
        <v>3.3918909740456824</v>
      </c>
      <c r="E119" s="52">
        <f t="shared" si="3"/>
        <v>0</v>
      </c>
      <c r="F119" s="52">
        <f t="shared" si="4"/>
        <v>0</v>
      </c>
      <c r="G119" s="52">
        <f t="shared" si="5"/>
        <v>0</v>
      </c>
    </row>
    <row r="120" spans="1:7">
      <c r="A120" s="50">
        <v>119</v>
      </c>
      <c r="B120" s="51">
        <v>283.42420267489035</v>
      </c>
      <c r="C120" s="52">
        <v>1.9399577835297064</v>
      </c>
      <c r="D120" s="52">
        <v>3.4094653379650168</v>
      </c>
      <c r="E120" s="52">
        <f t="shared" si="3"/>
        <v>0</v>
      </c>
      <c r="F120" s="52">
        <f t="shared" si="4"/>
        <v>0</v>
      </c>
      <c r="G120" s="52">
        <f t="shared" si="5"/>
        <v>0</v>
      </c>
    </row>
    <row r="121" spans="1:7">
      <c r="A121" s="50">
        <v>120</v>
      </c>
      <c r="B121" s="51">
        <v>285.36416045842009</v>
      </c>
      <c r="C121" s="52">
        <v>1.9324808411763086</v>
      </c>
      <c r="D121" s="52">
        <v>3.4271916183614217</v>
      </c>
      <c r="E121" s="52">
        <f t="shared" si="3"/>
        <v>0</v>
      </c>
      <c r="F121" s="52">
        <f t="shared" si="4"/>
        <v>0</v>
      </c>
      <c r="G121" s="52">
        <f t="shared" si="5"/>
        <v>0</v>
      </c>
    </row>
    <row r="122" spans="1:7">
      <c r="A122" s="50">
        <v>121</v>
      </c>
      <c r="B122" s="51">
        <v>287.29664129959644</v>
      </c>
      <c r="C122" s="52">
        <v>1.9249395027856697</v>
      </c>
      <c r="D122" s="52">
        <v>3.4450714595752832</v>
      </c>
      <c r="E122" s="52">
        <f t="shared" si="3"/>
        <v>0</v>
      </c>
      <c r="F122" s="52">
        <f t="shared" si="4"/>
        <v>0</v>
      </c>
      <c r="G122" s="52">
        <f t="shared" si="5"/>
        <v>0</v>
      </c>
    </row>
    <row r="123" spans="1:7">
      <c r="A123" s="50">
        <v>122</v>
      </c>
      <c r="B123" s="51">
        <v>289.22158080238205</v>
      </c>
      <c r="C123" s="52">
        <v>1.9173363136103176</v>
      </c>
      <c r="D123" s="52">
        <v>3.4631064716073494</v>
      </c>
      <c r="E123" s="52">
        <f t="shared" si="3"/>
        <v>0</v>
      </c>
      <c r="F123" s="52">
        <f t="shared" si="4"/>
        <v>0</v>
      </c>
      <c r="G123" s="52">
        <f t="shared" si="5"/>
        <v>0</v>
      </c>
    </row>
    <row r="124" spans="1:7">
      <c r="A124" s="50">
        <v>123</v>
      </c>
      <c r="B124" s="51">
        <v>291.1389171159924</v>
      </c>
      <c r="C124" s="52">
        <v>1.9096737776132013</v>
      </c>
      <c r="D124" s="52">
        <v>3.4812982313065994</v>
      </c>
      <c r="E124" s="52">
        <f t="shared" si="3"/>
        <v>0</v>
      </c>
      <c r="F124" s="52">
        <f t="shared" si="4"/>
        <v>0</v>
      </c>
      <c r="G124" s="52">
        <f t="shared" si="5"/>
        <v>0</v>
      </c>
    </row>
    <row r="125" spans="1:7">
      <c r="A125" s="50">
        <v>124</v>
      </c>
      <c r="B125" s="51">
        <v>293.04859089360559</v>
      </c>
      <c r="C125" s="52">
        <v>1.9019543575048079</v>
      </c>
      <c r="D125" s="52">
        <v>3.4996482835316565</v>
      </c>
      <c r="E125" s="52">
        <f t="shared" si="3"/>
        <v>0</v>
      </c>
      <c r="F125" s="52">
        <f t="shared" si="4"/>
        <v>0</v>
      </c>
      <c r="G125" s="52">
        <f t="shared" si="5"/>
        <v>0</v>
      </c>
    </row>
    <row r="126" spans="1:7">
      <c r="A126" s="50">
        <v>125</v>
      </c>
      <c r="B126" s="51">
        <v>294.95054525111038</v>
      </c>
      <c r="C126" s="52">
        <v>1.894180474805305</v>
      </c>
      <c r="D126" s="52">
        <v>3.5181581422860564</v>
      </c>
      <c r="E126" s="52">
        <f t="shared" si="3"/>
        <v>0</v>
      </c>
      <c r="F126" s="52">
        <f t="shared" si="4"/>
        <v>0</v>
      </c>
      <c r="G126" s="52">
        <f t="shared" si="5"/>
        <v>0</v>
      </c>
    </row>
    <row r="127" spans="1:7">
      <c r="A127" s="50">
        <v>126</v>
      </c>
      <c r="B127" s="51">
        <v>296.84472572591568</v>
      </c>
      <c r="C127" s="52">
        <v>1.8863545099307906</v>
      </c>
      <c r="D127" s="52">
        <v>3.5368292918268587</v>
      </c>
      <c r="E127" s="52">
        <f t="shared" si="3"/>
        <v>0</v>
      </c>
      <c r="F127" s="52">
        <f t="shared" si="4"/>
        <v>0</v>
      </c>
      <c r="G127" s="52">
        <f t="shared" si="5"/>
        <v>0</v>
      </c>
    </row>
    <row r="128" spans="1:7">
      <c r="A128" s="50">
        <v>127</v>
      </c>
      <c r="B128" s="51">
        <v>298.73108023584649</v>
      </c>
      <c r="C128" s="52">
        <v>1.8784788023022383</v>
      </c>
      <c r="D128" s="52">
        <v>3.5556631877472222</v>
      </c>
      <c r="E128" s="52">
        <f t="shared" si="3"/>
        <v>0</v>
      </c>
      <c r="F128" s="52">
        <f t="shared" si="4"/>
        <v>0</v>
      </c>
      <c r="G128" s="52">
        <f t="shared" si="5"/>
        <v>0</v>
      </c>
    </row>
    <row r="129" spans="1:7">
      <c r="A129" s="50">
        <v>128</v>
      </c>
      <c r="B129" s="51">
        <v>300.60955903814875</v>
      </c>
      <c r="C129" s="52">
        <v>1.8705556504772078</v>
      </c>
      <c r="D129" s="52">
        <v>3.5746612580306918</v>
      </c>
      <c r="E129" s="52">
        <f t="shared" si="3"/>
        <v>0</v>
      </c>
      <c r="F129" s="52">
        <f t="shared" si="4"/>
        <v>0</v>
      </c>
      <c r="G129" s="52">
        <f t="shared" si="5"/>
        <v>0</v>
      </c>
    </row>
    <row r="130" spans="1:7">
      <c r="A130" s="50">
        <v>129</v>
      </c>
      <c r="B130" s="51">
        <v>302.48011468862592</v>
      </c>
      <c r="C130" s="52">
        <v>1.8625873123018855</v>
      </c>
      <c r="D130" s="52">
        <v>3.5938249040801376</v>
      </c>
      <c r="E130" s="52">
        <f t="shared" si="3"/>
        <v>0</v>
      </c>
      <c r="F130" s="52">
        <f t="shared" si="4"/>
        <v>0</v>
      </c>
      <c r="G130" s="52">
        <f t="shared" si="5"/>
        <v>0</v>
      </c>
    </row>
    <row r="131" spans="1:7">
      <c r="A131" s="50">
        <v>130</v>
      </c>
      <c r="B131" s="51">
        <v>304.34270200092783</v>
      </c>
      <c r="C131" s="52">
        <v>1.8545760050841609</v>
      </c>
      <c r="D131" s="52">
        <v>3.6131555017179311</v>
      </c>
      <c r="E131" s="52">
        <f t="shared" ref="E131" si="6">C131*$E$162</f>
        <v>0</v>
      </c>
      <c r="F131" s="52">
        <f t="shared" ref="F131" si="7">(D131*$E$163)</f>
        <v>0</v>
      </c>
      <c r="G131" s="52">
        <f t="shared" ref="G131" si="8">E131*F131</f>
        <v>0</v>
      </c>
    </row>
    <row r="132" spans="1:7">
      <c r="A132" s="50"/>
      <c r="B132" s="51"/>
      <c r="C132" s="52"/>
      <c r="D132" s="52"/>
      <c r="E132" s="52"/>
      <c r="F132" s="52"/>
      <c r="G132" s="52"/>
    </row>
    <row r="133" spans="1:7">
      <c r="A133" s="50"/>
      <c r="B133" s="51"/>
      <c r="C133" s="52"/>
      <c r="D133" s="52"/>
      <c r="E133" s="52"/>
      <c r="F133" s="52"/>
      <c r="G133" s="52"/>
    </row>
    <row r="134" spans="1:7">
      <c r="A134" s="50"/>
      <c r="B134" s="51"/>
      <c r="C134" s="52"/>
      <c r="D134" s="52"/>
      <c r="E134" s="52"/>
      <c r="F134" s="52"/>
      <c r="G134" s="52"/>
    </row>
    <row r="135" spans="1:7">
      <c r="A135" s="50"/>
      <c r="B135" s="51"/>
      <c r="C135" s="52"/>
      <c r="D135" s="52"/>
      <c r="E135" s="52"/>
      <c r="F135" s="52"/>
      <c r="G135" s="52"/>
    </row>
    <row r="136" spans="1:7">
      <c r="A136" s="50"/>
      <c r="B136" s="247"/>
      <c r="C136" s="247"/>
      <c r="D136" s="446" t="s">
        <v>181</v>
      </c>
      <c r="E136" s="446"/>
      <c r="F136" s="446"/>
      <c r="G136" s="446"/>
    </row>
    <row r="137" spans="1:7">
      <c r="A137" s="50"/>
      <c r="D137" s="447" t="s">
        <v>175</v>
      </c>
      <c r="E137" s="447"/>
      <c r="F137" s="447" t="s">
        <v>176</v>
      </c>
      <c r="G137" s="447"/>
    </row>
    <row r="138" spans="1:7">
      <c r="A138" s="50"/>
      <c r="C138" s="52"/>
      <c r="D138" s="246" t="s">
        <v>180</v>
      </c>
      <c r="E138" s="246" t="s">
        <v>177</v>
      </c>
      <c r="F138" s="246" t="s">
        <v>178</v>
      </c>
      <c r="G138" s="246" t="s">
        <v>179</v>
      </c>
    </row>
    <row r="139" spans="1:7">
      <c r="A139" s="50"/>
      <c r="B139" s="51"/>
      <c r="D139" s="57">
        <f>(E139/2.2046)*1000</f>
        <v>903.16943667639543</v>
      </c>
      <c r="E139" s="52">
        <f>AVERAGE(C2:C131)</f>
        <v>1.9911273400967817</v>
      </c>
      <c r="F139" s="55">
        <f>1/G139</f>
        <v>0.38351509647660431</v>
      </c>
      <c r="G139" s="52">
        <f>AVERAGE(D2:D131)</f>
        <v>2.6074592869670865</v>
      </c>
    </row>
    <row r="140" spans="1:7">
      <c r="A140" s="50"/>
      <c r="B140" s="51"/>
    </row>
    <row r="141" spans="1:7">
      <c r="A141" s="50"/>
      <c r="B141" s="52"/>
      <c r="D141" s="446" t="s">
        <v>182</v>
      </c>
      <c r="E141" s="446"/>
      <c r="F141" s="446"/>
      <c r="G141" s="446"/>
    </row>
    <row r="142" spans="1:7">
      <c r="B142" s="52"/>
      <c r="D142" s="447" t="s">
        <v>175</v>
      </c>
      <c r="E142" s="447"/>
      <c r="F142" s="447" t="s">
        <v>176</v>
      </c>
      <c r="G142" s="447"/>
    </row>
    <row r="143" spans="1:7">
      <c r="B143" s="52"/>
      <c r="D143" s="246" t="s">
        <v>180</v>
      </c>
      <c r="E143" s="246" t="s">
        <v>177</v>
      </c>
      <c r="F143" s="246" t="s">
        <v>178</v>
      </c>
      <c r="G143" s="246" t="s">
        <v>179</v>
      </c>
    </row>
    <row r="144" spans="1:7">
      <c r="A144" s="247"/>
      <c r="B144" s="52"/>
      <c r="D144" s="57">
        <f>E144*453.59237</f>
        <v>0</v>
      </c>
      <c r="E144" s="52">
        <f>Inputs!$G$7</f>
        <v>0</v>
      </c>
      <c r="F144" s="55" t="e">
        <f>1/G144</f>
        <v>#DIV/0!</v>
      </c>
      <c r="G144" s="52">
        <f>Inputs!$G$8</f>
        <v>0</v>
      </c>
    </row>
    <row r="146" spans="1:9">
      <c r="B146" s="51"/>
      <c r="D146" s="446" t="s">
        <v>183</v>
      </c>
      <c r="E146" s="446"/>
      <c r="F146" s="446"/>
      <c r="G146" s="446"/>
    </row>
    <row r="147" spans="1:9">
      <c r="D147" s="447" t="s">
        <v>175</v>
      </c>
      <c r="E147" s="447"/>
      <c r="F147" s="447" t="s">
        <v>176</v>
      </c>
      <c r="G147" s="447"/>
    </row>
    <row r="148" spans="1:9">
      <c r="D148" s="246" t="s">
        <v>180</v>
      </c>
      <c r="E148" s="246" t="s">
        <v>177</v>
      </c>
      <c r="F148" s="246" t="s">
        <v>178</v>
      </c>
      <c r="G148" s="246" t="s">
        <v>179</v>
      </c>
    </row>
    <row r="149" spans="1:9">
      <c r="A149" s="56"/>
      <c r="D149" s="57">
        <f>(E149/2.2046)*1000</f>
        <v>0</v>
      </c>
      <c r="E149" s="52">
        <f>AVERAGE(E2:E131)</f>
        <v>0</v>
      </c>
      <c r="F149" s="55" t="e">
        <f>1/G149</f>
        <v>#DIV/0!</v>
      </c>
      <c r="G149" s="52">
        <f>AVERAGE(F2:F131)</f>
        <v>0</v>
      </c>
    </row>
    <row r="150" spans="1:9">
      <c r="A150" s="56"/>
    </row>
    <row r="151" spans="1:9">
      <c r="A151" s="56"/>
      <c r="D151" s="446" t="s">
        <v>187</v>
      </c>
      <c r="E151" s="446"/>
      <c r="F151" s="446"/>
      <c r="G151" s="446"/>
      <c r="H151" s="446"/>
      <c r="I151" s="251"/>
    </row>
    <row r="152" spans="1:9">
      <c r="A152" s="56"/>
      <c r="D152" s="447" t="s">
        <v>175</v>
      </c>
      <c r="E152" s="447"/>
      <c r="F152" s="447" t="s">
        <v>176</v>
      </c>
      <c r="G152" s="447"/>
      <c r="H152" s="447" t="s">
        <v>188</v>
      </c>
      <c r="I152" s="447"/>
    </row>
    <row r="153" spans="1:9">
      <c r="D153" s="246" t="s">
        <v>180</v>
      </c>
      <c r="E153" s="246" t="s">
        <v>177</v>
      </c>
      <c r="F153" s="246" t="s">
        <v>178</v>
      </c>
      <c r="G153" s="246" t="s">
        <v>179</v>
      </c>
      <c r="H153" s="246" t="s">
        <v>189</v>
      </c>
      <c r="I153" s="246" t="s">
        <v>190</v>
      </c>
    </row>
    <row r="154" spans="1:9">
      <c r="B154" s="448" t="s">
        <v>184</v>
      </c>
      <c r="C154" s="448"/>
      <c r="D154" s="57" t="e">
        <f t="shared" ref="D154:D155" si="9">(E154/2.2046)*1000</f>
        <v>#DIV/0!</v>
      </c>
      <c r="E154" s="52" t="e">
        <f>CalculationsCurrent!K7</f>
        <v>#DIV/0!</v>
      </c>
      <c r="F154" s="55" t="e">
        <f t="shared" ref="F154:F155" si="10">1/G154</f>
        <v>#DIV/0!</v>
      </c>
      <c r="G154" s="52" t="e">
        <f>CalculationsCurrent!K8</f>
        <v>#DIV/0!</v>
      </c>
      <c r="H154" s="55" t="e">
        <f>E154/$E$144</f>
        <v>#DIV/0!</v>
      </c>
      <c r="I154" s="55" t="e">
        <f>$G$144/G154</f>
        <v>#DIV/0!</v>
      </c>
    </row>
    <row r="155" spans="1:9">
      <c r="B155" s="448" t="s">
        <v>185</v>
      </c>
      <c r="C155" s="448"/>
      <c r="D155" s="57" t="e">
        <f t="shared" si="9"/>
        <v>#DIV/0!</v>
      </c>
      <c r="E155" s="249" t="e">
        <f>CalculationsCurrent!L7</f>
        <v>#DIV/0!</v>
      </c>
      <c r="F155" s="55" t="e">
        <f t="shared" si="10"/>
        <v>#DIV/0!</v>
      </c>
      <c r="G155" s="249" t="e">
        <f>CalculationsCurrent!L8</f>
        <v>#DIV/0!</v>
      </c>
      <c r="H155" s="55" t="e">
        <f t="shared" ref="H155" si="11">E155/$E$144</f>
        <v>#DIV/0!</v>
      </c>
      <c r="I155" s="55" t="e">
        <f t="shared" ref="I155:I156" si="12">$G$144/G155</f>
        <v>#DIV/0!</v>
      </c>
    </row>
    <row r="156" spans="1:9">
      <c r="B156" s="448" t="s">
        <v>186</v>
      </c>
      <c r="C156" s="448"/>
      <c r="D156" s="57" t="e">
        <f>(E156/2.2046)*1000</f>
        <v>#DIV/0!</v>
      </c>
      <c r="E156" s="52" t="e">
        <f>CalculationsCurrent!M7</f>
        <v>#DIV/0!</v>
      </c>
      <c r="F156" s="55" t="e">
        <f>1/G156</f>
        <v>#DIV/0!</v>
      </c>
      <c r="G156" s="52" t="e">
        <f>CalculationsCurrent!M8</f>
        <v>#DIV/0!</v>
      </c>
      <c r="H156" s="55" t="e">
        <f>E156/$E$144</f>
        <v>#DIV/0!</v>
      </c>
      <c r="I156" s="55" t="e">
        <f t="shared" si="12"/>
        <v>#DIV/0!</v>
      </c>
    </row>
    <row r="157" spans="1:9">
      <c r="F157" s="248"/>
      <c r="G157" s="249"/>
      <c r="H157" s="246" t="s">
        <v>189</v>
      </c>
      <c r="I157" s="246" t="s">
        <v>190</v>
      </c>
    </row>
    <row r="158" spans="1:9">
      <c r="F158" s="250"/>
      <c r="G158" s="449" t="s">
        <v>192</v>
      </c>
      <c r="H158" s="55" t="e">
        <f>IF(Inputs!N3=4, GrowthCurveAdjustments!H154, IF(Inputs!N3=5, GrowthCurveAdjustments!H155, IF(Inputs!N3=6, GrowthCurveAdjustments!H156, "")))</f>
        <v>#DIV/0!</v>
      </c>
      <c r="I158" s="55" t="e">
        <f>IF(Inputs!N3=4, GrowthCurveAdjustments!I154, IF(Inputs!N3=5, GrowthCurveAdjustments!I155, IF(Inputs!N3=6, GrowthCurveAdjustments!I156, "")))</f>
        <v>#DIV/0!</v>
      </c>
    </row>
    <row r="159" spans="1:9">
      <c r="E159" s="52"/>
      <c r="F159" s="50"/>
      <c r="G159" s="449"/>
      <c r="H159" s="55" t="e">
        <f>H158-1</f>
        <v>#DIV/0!</v>
      </c>
      <c r="I159" s="55" t="e">
        <f>I158-1</f>
        <v>#DIV/0!</v>
      </c>
    </row>
    <row r="162" spans="2:6">
      <c r="B162" s="445" t="s">
        <v>191</v>
      </c>
      <c r="C162" s="445"/>
      <c r="D162" s="54" t="s">
        <v>84</v>
      </c>
      <c r="E162" s="52">
        <f>$E$144/$E$139</f>
        <v>0</v>
      </c>
      <c r="F162" s="52"/>
    </row>
    <row r="163" spans="2:6">
      <c r="B163" s="445"/>
      <c r="C163" s="445"/>
      <c r="D163" s="54" t="s">
        <v>179</v>
      </c>
      <c r="E163" s="52">
        <f>$G$144/$G$139</f>
        <v>0</v>
      </c>
      <c r="F163" s="52"/>
    </row>
    <row r="164" spans="2:6">
      <c r="B164" s="51"/>
    </row>
    <row r="165" spans="2:6">
      <c r="B165" s="51"/>
    </row>
    <row r="166" spans="2:6">
      <c r="B166" s="51"/>
    </row>
    <row r="167" spans="2:6">
      <c r="B167" s="51"/>
    </row>
    <row r="168" spans="2:6">
      <c r="B168" s="51"/>
    </row>
    <row r="169" spans="2:6">
      <c r="B169" s="51"/>
    </row>
    <row r="170" spans="2:6">
      <c r="B170" s="51"/>
    </row>
    <row r="171" spans="2:6">
      <c r="B171" s="51"/>
    </row>
    <row r="172" spans="2:6">
      <c r="B172" s="51"/>
    </row>
    <row r="173" spans="2:6">
      <c r="B173" s="51"/>
    </row>
    <row r="174" spans="2:6">
      <c r="B174" s="51"/>
    </row>
    <row r="175" spans="2:6">
      <c r="B175" s="51"/>
    </row>
    <row r="176" spans="2:6">
      <c r="B176" s="51"/>
    </row>
    <row r="177" spans="2:2">
      <c r="B177" s="51"/>
    </row>
    <row r="178" spans="2:2">
      <c r="B178" s="51"/>
    </row>
    <row r="179" spans="2:2">
      <c r="B179" s="51"/>
    </row>
    <row r="180" spans="2:2">
      <c r="B180" s="51"/>
    </row>
    <row r="181" spans="2:2">
      <c r="B181" s="51"/>
    </row>
    <row r="182" spans="2:2">
      <c r="B182" s="51"/>
    </row>
    <row r="183" spans="2:2">
      <c r="B183" s="51"/>
    </row>
    <row r="184" spans="2:2">
      <c r="B184" s="51"/>
    </row>
    <row r="185" spans="2:2">
      <c r="B185" s="51"/>
    </row>
    <row r="186" spans="2:2">
      <c r="B186" s="51"/>
    </row>
    <row r="187" spans="2:2">
      <c r="B187" s="51"/>
    </row>
    <row r="188" spans="2:2">
      <c r="B188" s="51"/>
    </row>
    <row r="189" spans="2:2">
      <c r="B189" s="51"/>
    </row>
    <row r="190" spans="2:2">
      <c r="B190" s="51"/>
    </row>
    <row r="191" spans="2:2">
      <c r="B191" s="51"/>
    </row>
    <row r="192" spans="2:2">
      <c r="B192" s="51"/>
    </row>
    <row r="193" spans="2:2">
      <c r="B193" s="51"/>
    </row>
    <row r="194" spans="2:2">
      <c r="B194" s="51"/>
    </row>
    <row r="195" spans="2:2">
      <c r="B195" s="51"/>
    </row>
    <row r="196" spans="2:2">
      <c r="B196" s="51"/>
    </row>
    <row r="197" spans="2:2">
      <c r="B197" s="51"/>
    </row>
    <row r="198" spans="2:2">
      <c r="B198" s="51"/>
    </row>
    <row r="199" spans="2:2">
      <c r="B199" s="51"/>
    </row>
    <row r="200" spans="2:2">
      <c r="B200" s="51"/>
    </row>
    <row r="201" spans="2:2">
      <c r="B201" s="51"/>
    </row>
    <row r="202" spans="2:2">
      <c r="B202" s="51"/>
    </row>
  </sheetData>
  <mergeCells count="18">
    <mergeCell ref="D136:G136"/>
    <mergeCell ref="D141:G141"/>
    <mergeCell ref="D142:E142"/>
    <mergeCell ref="D137:E137"/>
    <mergeCell ref="F137:G137"/>
    <mergeCell ref="F142:G142"/>
    <mergeCell ref="B162:C163"/>
    <mergeCell ref="D146:G146"/>
    <mergeCell ref="D147:E147"/>
    <mergeCell ref="F147:G147"/>
    <mergeCell ref="D152:E152"/>
    <mergeCell ref="F152:G152"/>
    <mergeCell ref="B154:C154"/>
    <mergeCell ref="B155:C155"/>
    <mergeCell ref="B156:C156"/>
    <mergeCell ref="D151:H151"/>
    <mergeCell ref="H152:I152"/>
    <mergeCell ref="G158:G159"/>
  </mergeCell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/>
  <dimension ref="A1:AF234"/>
  <sheetViews>
    <sheetView showGridLines="0" zoomScale="70" zoomScaleNormal="70" zoomScaleSheetLayoutView="80" zoomScalePageLayoutView="70" workbookViewId="0">
      <selection activeCell="AL2" sqref="AL2"/>
    </sheetView>
  </sheetViews>
  <sheetFormatPr baseColWidth="10" defaultColWidth="8.83203125" defaultRowHeight="14" x14ac:dyDescent="0"/>
  <cols>
    <col min="1" max="1" width="6.6640625" customWidth="1"/>
    <col min="2" max="2" width="20.83203125" style="99" customWidth="1"/>
    <col min="3" max="3" width="21.5" customWidth="1"/>
    <col min="4" max="4" width="21.6640625" customWidth="1"/>
    <col min="5" max="5" width="21.33203125" customWidth="1"/>
    <col min="6" max="6" width="15.6640625" customWidth="1"/>
    <col min="7" max="8" width="20.6640625" customWidth="1"/>
    <col min="9" max="10" width="15.6640625" customWidth="1"/>
    <col min="11" max="13" width="12.6640625" customWidth="1"/>
    <col min="14" max="14" width="12.6640625" hidden="1" customWidth="1"/>
    <col min="15" max="15" width="30.83203125" hidden="1" customWidth="1"/>
    <col min="16" max="16" width="8" hidden="1" customWidth="1"/>
    <col min="17" max="17" width="11.5" hidden="1" customWidth="1"/>
    <col min="18" max="19" width="11.6640625" hidden="1" customWidth="1"/>
    <col min="20" max="20" width="8" hidden="1" customWidth="1"/>
    <col min="21" max="21" width="11.5" hidden="1" customWidth="1"/>
    <col min="22" max="22" width="11.6640625" hidden="1" customWidth="1"/>
    <col min="23" max="32" width="12.6640625" hidden="1" customWidth="1"/>
    <col min="33" max="347" width="12.6640625" customWidth="1"/>
  </cols>
  <sheetData>
    <row r="1" spans="1:23" ht="15" customHeight="1">
      <c r="A1" s="451" t="s">
        <v>302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</row>
    <row r="2" spans="1:23" ht="15" customHeight="1">
      <c r="A2" s="451"/>
      <c r="B2" s="452"/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</row>
    <row r="3" spans="1:23" ht="15" customHeight="1">
      <c r="A3" s="451"/>
      <c r="B3" s="452"/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</row>
    <row r="4" spans="1:23" s="16" customFormat="1" ht="20" customHeight="1" thickBot="1">
      <c r="A4" s="438" t="s">
        <v>110</v>
      </c>
      <c r="B4" s="439"/>
      <c r="C4" s="439"/>
      <c r="D4" s="439"/>
      <c r="E4" s="439"/>
      <c r="F4" s="439"/>
      <c r="G4" s="439" t="s">
        <v>127</v>
      </c>
      <c r="H4" s="439"/>
      <c r="I4" s="439"/>
      <c r="J4" s="439"/>
      <c r="K4" s="439"/>
      <c r="L4" s="439"/>
      <c r="M4" s="439"/>
    </row>
    <row r="5" spans="1:23" ht="20" customHeight="1" thickTop="1">
      <c r="A5" s="77"/>
      <c r="B5" s="77"/>
      <c r="C5" s="77"/>
      <c r="D5" s="77"/>
      <c r="E5" s="77"/>
      <c r="F5" s="77"/>
      <c r="G5" s="77"/>
      <c r="H5" s="77"/>
      <c r="I5" s="77"/>
      <c r="J5" s="77"/>
      <c r="K5" s="16"/>
      <c r="L5" s="16"/>
      <c r="M5" s="16"/>
    </row>
    <row r="6" spans="1:23" ht="20" customHeight="1" thickBot="1">
      <c r="A6" s="127"/>
      <c r="B6" s="456" t="s">
        <v>8</v>
      </c>
      <c r="C6" s="454" t="s">
        <v>275</v>
      </c>
      <c r="D6" s="454"/>
      <c r="E6" s="417" t="s">
        <v>109</v>
      </c>
      <c r="F6" s="129"/>
      <c r="G6" s="417" t="s">
        <v>112</v>
      </c>
      <c r="H6" s="417" t="s">
        <v>98</v>
      </c>
      <c r="I6" s="417" t="s">
        <v>145</v>
      </c>
      <c r="J6" s="417" t="s">
        <v>109</v>
      </c>
      <c r="K6" s="16"/>
      <c r="L6" s="16"/>
      <c r="M6" s="16"/>
      <c r="O6" s="6"/>
      <c r="P6" s="219" t="s">
        <v>221</v>
      </c>
      <c r="Q6" s="219" t="s">
        <v>148</v>
      </c>
      <c r="R6" s="219" t="s">
        <v>147</v>
      </c>
      <c r="S6" s="49"/>
      <c r="T6" s="49"/>
      <c r="U6" s="49"/>
      <c r="V6" s="49"/>
    </row>
    <row r="7" spans="1:23" ht="20" customHeight="1" thickTop="1" thickBot="1">
      <c r="A7" s="127"/>
      <c r="B7" s="457"/>
      <c r="C7" s="130" t="s">
        <v>98</v>
      </c>
      <c r="D7" s="130" t="s">
        <v>202</v>
      </c>
      <c r="E7" s="454"/>
      <c r="F7" s="16"/>
      <c r="G7" s="454"/>
      <c r="H7" s="454"/>
      <c r="I7" s="454"/>
      <c r="J7" s="454"/>
      <c r="K7" s="16"/>
      <c r="L7" s="16"/>
      <c r="M7" s="16"/>
      <c r="O7" s="337" t="str">
        <f>B8</f>
        <v>Ph 1</v>
      </c>
      <c r="P7" s="337">
        <f>CalculationsCurrent!B9</f>
        <v>0</v>
      </c>
      <c r="Q7" s="221">
        <f>Fixed_Weight!B9</f>
        <v>1083</v>
      </c>
      <c r="R7" s="221">
        <f>Fixed_Time!B9</f>
        <v>1083</v>
      </c>
      <c r="S7" s="49"/>
      <c r="T7" s="49"/>
      <c r="U7" s="49"/>
      <c r="V7" s="49"/>
    </row>
    <row r="8" spans="1:23" ht="20" customHeight="1" thickTop="1">
      <c r="A8" s="94"/>
      <c r="B8" s="256" t="s">
        <v>129</v>
      </c>
      <c r="C8" s="244">
        <f>Inputs!$M$7*2.2046</f>
        <v>0</v>
      </c>
      <c r="D8" s="207">
        <f>IF(Inputs!$H$14=1,Outputs!Q7,IF(Inputs!$H$14=2,Outputs!R7,""))*2.2046</f>
        <v>2387.5817999999999</v>
      </c>
      <c r="E8" s="257">
        <f t="shared" ref="E8:E13" si="0">(1-(C8/D8))*100</f>
        <v>100</v>
      </c>
      <c r="F8" s="94"/>
      <c r="G8" s="132" t="s">
        <v>277</v>
      </c>
      <c r="H8" s="118" t="e">
        <f>T17/2.2046</f>
        <v>#DIV/0!</v>
      </c>
      <c r="I8" s="376" t="e">
        <f>(IF(Inputs!$H$14=1,Outputs!$U$17,IF(Inputs!$H$14=2,Outputs!$V$17,"")))/2.2046</f>
        <v>#DIV/0!</v>
      </c>
      <c r="J8" s="131" t="e">
        <f>(1-(H8/I8))*100</f>
        <v>#DIV/0!</v>
      </c>
      <c r="K8" s="16"/>
      <c r="L8" s="16"/>
      <c r="M8" s="16"/>
      <c r="O8" s="337" t="str">
        <f t="shared" ref="O8:O12" si="1">B9</f>
        <v>Ph 2</v>
      </c>
      <c r="P8" s="337">
        <f>CalculationsCurrent!C9</f>
        <v>0</v>
      </c>
      <c r="Q8" s="221">
        <f>Fixed_Weight!C9</f>
        <v>1097</v>
      </c>
      <c r="R8" s="221">
        <f>Fixed_Time!C9</f>
        <v>1097</v>
      </c>
      <c r="S8" s="49"/>
      <c r="T8" s="49"/>
      <c r="U8" s="49"/>
      <c r="V8" s="49"/>
    </row>
    <row r="9" spans="1:23" ht="20" customHeight="1">
      <c r="A9" s="133"/>
      <c r="B9" s="256" t="s">
        <v>130</v>
      </c>
      <c r="C9" s="244">
        <f>Inputs!$M$8*2.2046</f>
        <v>0</v>
      </c>
      <c r="D9" s="207">
        <f>IF(Inputs!$H$14=1,Outputs!Q8,IF(Inputs!$H$14=2,Outputs!R8,""))*2.2046</f>
        <v>2418.4462000000003</v>
      </c>
      <c r="E9" s="257">
        <f t="shared" si="0"/>
        <v>100</v>
      </c>
      <c r="F9" s="133"/>
      <c r="G9" s="132" t="s">
        <v>108</v>
      </c>
      <c r="H9" s="117" t="e">
        <f>T23</f>
        <v>#DIV/0!</v>
      </c>
      <c r="I9" s="208" t="e">
        <f>IF(Inputs!$H$14=1,Outputs!$U$23,IF(Inputs!$H$14=2,Outputs!$V$23,""))</f>
        <v>#DIV/0!</v>
      </c>
      <c r="J9" s="131" t="e">
        <f>(1-(H9/I9))*100</f>
        <v>#DIV/0!</v>
      </c>
      <c r="K9" s="16"/>
      <c r="L9" s="16"/>
      <c r="M9" s="16"/>
      <c r="O9" s="337" t="str">
        <f t="shared" si="1"/>
        <v>Ph 3</v>
      </c>
      <c r="P9" s="337">
        <f>CalculationsCurrent!D9</f>
        <v>0</v>
      </c>
      <c r="Q9" s="221">
        <f>Fixed_Weight!D9</f>
        <v>1110</v>
      </c>
      <c r="R9" s="221">
        <f>Fixed_Time!D9</f>
        <v>1110</v>
      </c>
      <c r="S9" s="49"/>
      <c r="T9" s="49"/>
      <c r="U9" s="49"/>
      <c r="V9" s="49"/>
    </row>
    <row r="10" spans="1:23" ht="20" customHeight="1">
      <c r="A10" s="94"/>
      <c r="B10" s="258" t="s">
        <v>131</v>
      </c>
      <c r="C10" s="244">
        <f>Inputs!$M$9*2.2046</f>
        <v>0</v>
      </c>
      <c r="D10" s="207">
        <f>IF(Inputs!$H$14=1,Outputs!Q9,IF(Inputs!$H$14=2,Outputs!R9,""))*2.2046</f>
        <v>2447.1060000000002</v>
      </c>
      <c r="E10" s="257">
        <f t="shared" si="0"/>
        <v>100</v>
      </c>
      <c r="F10" s="94"/>
      <c r="G10" s="132" t="s">
        <v>276</v>
      </c>
      <c r="H10" s="117" t="e">
        <f>H8/(1/H9)</f>
        <v>#DIV/0!</v>
      </c>
      <c r="I10" s="117" t="e">
        <f>I8/(1/I9)</f>
        <v>#DIV/0!</v>
      </c>
      <c r="J10" s="131" t="e">
        <f>(1-(H10/I10))*100</f>
        <v>#DIV/0!</v>
      </c>
      <c r="K10" s="16"/>
      <c r="L10" s="16"/>
      <c r="M10" s="16"/>
      <c r="O10" s="337" t="str">
        <f t="shared" si="1"/>
        <v>Ph 4</v>
      </c>
      <c r="P10" s="337">
        <f>CalculationsCurrent!E9</f>
        <v>0</v>
      </c>
      <c r="Q10" s="221">
        <f>Fixed_Weight!E9</f>
        <v>1119</v>
      </c>
      <c r="R10" s="221">
        <f>Fixed_Time!E9</f>
        <v>1119</v>
      </c>
      <c r="S10" s="49"/>
      <c r="T10" s="49"/>
      <c r="U10" s="49"/>
      <c r="V10" s="49"/>
    </row>
    <row r="11" spans="1:23" ht="20" customHeight="1">
      <c r="A11" s="133"/>
      <c r="B11" s="259" t="s">
        <v>132</v>
      </c>
      <c r="C11" s="244">
        <f>Inputs!$M$10*2.2046</f>
        <v>0</v>
      </c>
      <c r="D11" s="207">
        <f>IF(Inputs!$H$14=1,Outputs!Q10,IF(Inputs!$H$14=2,Outputs!R10,""))*2.2046</f>
        <v>2466.9474</v>
      </c>
      <c r="E11" s="257">
        <f t="shared" si="0"/>
        <v>100</v>
      </c>
      <c r="F11" s="133"/>
      <c r="G11" s="134" t="s">
        <v>111</v>
      </c>
      <c r="H11" s="280">
        <f>ROUNDUP(Inputs!G9,1)</f>
        <v>0</v>
      </c>
      <c r="I11" s="265" t="e">
        <f>IF(Inputs!$H$14=1,Outputs!Q17,IF(Inputs!$H$14=2,Outputs!R17,""))</f>
        <v>#DIV/0!</v>
      </c>
      <c r="J11" s="131" t="e">
        <f>(1-(H11/I11))*100</f>
        <v>#DIV/0!</v>
      </c>
      <c r="K11" s="16"/>
      <c r="L11" s="16"/>
      <c r="M11" s="16"/>
      <c r="O11" s="337" t="str">
        <f t="shared" si="1"/>
        <v>Ph 5</v>
      </c>
      <c r="P11" s="337">
        <f>CalculationsCurrent!F9</f>
        <v>0</v>
      </c>
      <c r="Q11" s="221">
        <f>Fixed_Weight!F9</f>
        <v>1126</v>
      </c>
      <c r="R11" s="221">
        <f>Fixed_Time!F9</f>
        <v>1126</v>
      </c>
      <c r="S11" s="49"/>
      <c r="T11" s="49"/>
      <c r="U11" s="49"/>
      <c r="V11" s="49"/>
    </row>
    <row r="12" spans="1:23" ht="20" customHeight="1">
      <c r="A12" s="133"/>
      <c r="B12" s="258" t="s">
        <v>133</v>
      </c>
      <c r="C12" s="244">
        <f>Inputs!$M$11*2.2046</f>
        <v>0</v>
      </c>
      <c r="D12" s="207">
        <f>IF(Inputs!$H$14=1,Outputs!Q11,IF(Inputs!$H$14=2,Outputs!R11,""))*2.2046</f>
        <v>2482.3796000000002</v>
      </c>
      <c r="E12" s="257">
        <f t="shared" si="0"/>
        <v>100</v>
      </c>
      <c r="F12" s="133"/>
      <c r="G12" s="135"/>
      <c r="H12" s="108"/>
      <c r="I12" s="108"/>
      <c r="J12" s="108"/>
      <c r="K12" s="16"/>
      <c r="L12" s="16"/>
      <c r="M12" s="16"/>
      <c r="O12" s="337" t="str">
        <f t="shared" si="1"/>
        <v>Ph 6</v>
      </c>
      <c r="P12" s="337">
        <f>CalculationsCurrent!G9</f>
        <v>0</v>
      </c>
      <c r="Q12" s="221">
        <f>Fixed_Weight!G9</f>
        <v>1159</v>
      </c>
      <c r="R12" s="221">
        <f>Fixed_Time!G9</f>
        <v>1149.9999994969594</v>
      </c>
      <c r="S12" s="49"/>
      <c r="T12" s="49"/>
      <c r="U12" s="49"/>
      <c r="V12" s="49"/>
    </row>
    <row r="13" spans="1:23" ht="20" customHeight="1">
      <c r="A13" s="133"/>
      <c r="B13" s="258" t="s">
        <v>134</v>
      </c>
      <c r="C13" s="244">
        <f>Inputs!$M$12*2.2046</f>
        <v>0</v>
      </c>
      <c r="D13" s="207">
        <f>IF(Inputs!$H$14=1,Outputs!Q12,IF(Inputs!$H$14=2,Outputs!R12,""))*2.2046</f>
        <v>2535.2899988909967</v>
      </c>
      <c r="E13" s="257">
        <f t="shared" si="0"/>
        <v>100</v>
      </c>
      <c r="F13" s="129"/>
      <c r="G13" s="458"/>
      <c r="H13" s="458"/>
      <c r="I13" s="458"/>
      <c r="J13" s="136"/>
      <c r="K13" s="16"/>
      <c r="L13" s="16"/>
      <c r="M13" s="16"/>
      <c r="O13" s="220"/>
      <c r="P13" s="219" t="s">
        <v>221</v>
      </c>
      <c r="Q13" s="219" t="s">
        <v>148</v>
      </c>
      <c r="R13" s="219" t="s">
        <v>147</v>
      </c>
      <c r="S13" s="49"/>
      <c r="T13" s="219" t="s">
        <v>221</v>
      </c>
      <c r="U13" s="219" t="s">
        <v>148</v>
      </c>
      <c r="V13" s="219" t="s">
        <v>147</v>
      </c>
      <c r="W13" s="219"/>
    </row>
    <row r="14" spans="1:23" ht="20" customHeight="1">
      <c r="A14" s="137"/>
      <c r="B14" s="459" t="s">
        <v>303</v>
      </c>
      <c r="C14" s="459"/>
      <c r="D14" s="459"/>
      <c r="E14" s="459"/>
      <c r="F14" s="459"/>
      <c r="G14" s="459"/>
      <c r="H14" s="138"/>
      <c r="I14" s="138"/>
      <c r="J14" s="138"/>
      <c r="K14" s="16"/>
      <c r="L14" s="16"/>
      <c r="M14" s="16"/>
      <c r="O14" s="220" t="str">
        <f>G8</f>
        <v xml:space="preserve">  ADG, kg</v>
      </c>
      <c r="P14" s="222" t="e">
        <f>CalculationsCurrent!J7</f>
        <v>#DIV/0!</v>
      </c>
      <c r="Q14" s="222" t="e">
        <f>Fixed_Weight!J7</f>
        <v>#DIV/0!</v>
      </c>
      <c r="R14" s="222" t="e">
        <f>Fixed_Time!J7</f>
        <v>#DIV/0!</v>
      </c>
      <c r="S14" s="49" t="s">
        <v>223</v>
      </c>
      <c r="T14" s="52">
        <f>Inputs!G7</f>
        <v>0</v>
      </c>
      <c r="U14" s="341" t="s">
        <v>226</v>
      </c>
      <c r="V14" s="341" t="s">
        <v>226</v>
      </c>
    </row>
    <row r="15" spans="1:23" s="16" customFormat="1" ht="20" customHeight="1" thickBot="1">
      <c r="A15" s="450" t="s">
        <v>128</v>
      </c>
      <c r="B15" s="450"/>
      <c r="C15" s="450"/>
      <c r="D15" s="450"/>
      <c r="E15" s="450"/>
      <c r="F15" s="450"/>
      <c r="G15" s="450"/>
      <c r="H15" s="450"/>
      <c r="I15" s="450"/>
      <c r="J15" s="450"/>
      <c r="K15" s="450"/>
      <c r="L15" s="450"/>
      <c r="M15" s="450"/>
      <c r="O15" s="220" t="str">
        <f t="shared" ref="O15:O17" si="2">G9</f>
        <v xml:space="preserve">  F/G</v>
      </c>
      <c r="P15" s="222" t="e">
        <f>CalculationsCurrent!J8</f>
        <v>#DIV/0!</v>
      </c>
      <c r="Q15" s="222" t="e">
        <f>Fixed_Weight!J8</f>
        <v>#DIV/0!</v>
      </c>
      <c r="R15" s="222" t="e">
        <f>Fixed_Time!J8</f>
        <v>#DIV/0!</v>
      </c>
      <c r="S15" s="49" t="s">
        <v>222</v>
      </c>
      <c r="T15" s="52" t="e">
        <f>P14</f>
        <v>#DIV/0!</v>
      </c>
      <c r="U15" s="340" t="e">
        <f>Q14</f>
        <v>#DIV/0!</v>
      </c>
      <c r="V15" s="340" t="e">
        <f>R14</f>
        <v>#DIV/0!</v>
      </c>
    </row>
    <row r="16" spans="1:23" ht="20" customHeight="1" thickTop="1">
      <c r="A16" s="133"/>
      <c r="B16" s="111"/>
      <c r="C16" s="111"/>
      <c r="D16" s="453" t="s">
        <v>112</v>
      </c>
      <c r="E16" s="453"/>
      <c r="F16" s="453"/>
      <c r="G16" s="453" t="s">
        <v>98</v>
      </c>
      <c r="H16" s="453" t="s">
        <v>145</v>
      </c>
      <c r="I16" s="117"/>
      <c r="J16" s="131"/>
      <c r="K16" s="16"/>
      <c r="L16" s="16"/>
      <c r="M16" s="16"/>
      <c r="O16" s="220" t="str">
        <f t="shared" si="2"/>
        <v xml:space="preserve">  ADFI, kg</v>
      </c>
      <c r="P16" s="222" t="e">
        <f>CalculationsCurrent!J10</f>
        <v>#DIV/0!</v>
      </c>
      <c r="Q16" s="222" t="e">
        <f>Fixed_Weight!J10</f>
        <v>#DIV/0!</v>
      </c>
      <c r="R16" s="222" t="e">
        <f>Fixed_Time!J10</f>
        <v>#DIV/0!</v>
      </c>
      <c r="S16" s="49" t="s">
        <v>224</v>
      </c>
      <c r="T16" s="52" t="e">
        <f>T14-T15</f>
        <v>#DIV/0!</v>
      </c>
      <c r="U16" s="52" t="e">
        <f>$T$16</f>
        <v>#DIV/0!</v>
      </c>
      <c r="V16" s="52" t="e">
        <f>$T$16</f>
        <v>#DIV/0!</v>
      </c>
    </row>
    <row r="17" spans="1:22" ht="20" customHeight="1" thickBot="1">
      <c r="A17" s="16"/>
      <c r="B17" s="127"/>
      <c r="C17" s="127"/>
      <c r="D17" s="454"/>
      <c r="E17" s="454"/>
      <c r="F17" s="454"/>
      <c r="G17" s="454"/>
      <c r="H17" s="454"/>
      <c r="I17" s="16"/>
      <c r="J17" s="16"/>
      <c r="K17" s="16"/>
      <c r="L17" s="16"/>
      <c r="M17" s="16"/>
      <c r="O17" s="220" t="str">
        <f t="shared" si="2"/>
        <v xml:space="preserve">  Carcass yield, %</v>
      </c>
      <c r="P17" s="222">
        <f>Inputs!$G$9</f>
        <v>0</v>
      </c>
      <c r="Q17" s="342">
        <f>Fixed_Weight!$C$43</f>
        <v>0</v>
      </c>
      <c r="R17" s="342" t="e">
        <f>Fixed_Time!C43</f>
        <v>#DIV/0!</v>
      </c>
      <c r="S17" s="49" t="s">
        <v>225</v>
      </c>
      <c r="T17" s="52" t="e">
        <f>T15+(T16)</f>
        <v>#DIV/0!</v>
      </c>
      <c r="U17" s="52" t="e">
        <f>U15+(U16)</f>
        <v>#DIV/0!</v>
      </c>
      <c r="V17" s="52" t="e">
        <f>V15+(V16)</f>
        <v>#DIV/0!</v>
      </c>
    </row>
    <row r="18" spans="1:22" ht="20" customHeight="1" thickTop="1">
      <c r="A18" s="94"/>
      <c r="B18" s="139"/>
      <c r="C18" s="127"/>
      <c r="D18" s="455" t="str">
        <f>Fixed_Weight!I11</f>
        <v xml:space="preserve">  Phases duration, d</v>
      </c>
      <c r="E18" s="455"/>
      <c r="F18" s="455"/>
      <c r="G18" s="265" t="e">
        <f>P20</f>
        <v>#DIV/0!</v>
      </c>
      <c r="H18" s="265" t="e">
        <f>IF(Inputs!$H$14=1,Outputs!Q20,IF(Inputs!$H$14=2,Outputs!R20,""))</f>
        <v>#DIV/0!</v>
      </c>
      <c r="I18" s="16"/>
      <c r="J18" s="16"/>
      <c r="K18" s="16"/>
      <c r="L18" s="16"/>
      <c r="M18" s="16"/>
      <c r="O18" s="6"/>
      <c r="P18" s="6"/>
      <c r="Q18" s="6"/>
      <c r="R18" s="6"/>
      <c r="S18" s="49"/>
      <c r="T18" s="49"/>
      <c r="U18" s="49"/>
      <c r="V18" s="49"/>
    </row>
    <row r="19" spans="1:22" ht="20" customHeight="1">
      <c r="A19" s="133"/>
      <c r="B19" s="139"/>
      <c r="C19" s="140"/>
      <c r="D19" s="455" t="str">
        <f>Fixed_Weight!I12</f>
        <v xml:space="preserve">  Total feed, kg/pig</v>
      </c>
      <c r="E19" s="455"/>
      <c r="F19" s="455"/>
      <c r="G19" s="265" t="e">
        <f>P21</f>
        <v>#DIV/0!</v>
      </c>
      <c r="H19" s="265" t="e">
        <f>IF(Inputs!$H$14=1,Outputs!Q21,IF(Inputs!$H$14=2,Outputs!R21,""))</f>
        <v>#DIV/0!</v>
      </c>
      <c r="I19" s="16"/>
      <c r="J19" s="16"/>
      <c r="K19" s="16"/>
      <c r="L19" s="16"/>
      <c r="M19" s="16"/>
      <c r="O19" s="6"/>
      <c r="P19" s="219" t="s">
        <v>221</v>
      </c>
      <c r="Q19" s="219" t="s">
        <v>148</v>
      </c>
      <c r="R19" s="219" t="s">
        <v>147</v>
      </c>
      <c r="S19" s="49"/>
      <c r="T19" s="219" t="s">
        <v>221</v>
      </c>
      <c r="U19" s="219" t="s">
        <v>148</v>
      </c>
      <c r="V19" s="219" t="s">
        <v>147</v>
      </c>
    </row>
    <row r="20" spans="1:22" ht="20" customHeight="1">
      <c r="A20" s="94"/>
      <c r="B20" s="139"/>
      <c r="C20" s="127"/>
      <c r="D20" s="455" t="str">
        <f>Fixed_Weight!I13</f>
        <v xml:space="preserve">  Total feed cost, $/pig</v>
      </c>
      <c r="E20" s="455"/>
      <c r="F20" s="455"/>
      <c r="G20" s="128" t="e">
        <f t="shared" ref="G20:G25" si="3">P22</f>
        <v>#DIV/0!</v>
      </c>
      <c r="H20" s="128" t="e">
        <f>IF(Inputs!$H$14=1,Outputs!Q22,IF(Inputs!$H$14=2,Outputs!R22,""))</f>
        <v>#DIV/0!</v>
      </c>
      <c r="I20" s="16"/>
      <c r="J20" s="16"/>
      <c r="K20" s="16"/>
      <c r="L20" s="16"/>
      <c r="M20" s="16"/>
      <c r="O20" s="6" t="str">
        <f t="shared" ref="O20:O27" si="4">D18</f>
        <v xml:space="preserve">  Phases duration, d</v>
      </c>
      <c r="P20" s="222" t="e">
        <f>CalculationsCurrent!J11</f>
        <v>#DIV/0!</v>
      </c>
      <c r="Q20" s="222">
        <f>Fixed_Weight!J11</f>
        <v>0</v>
      </c>
      <c r="R20" s="222" t="e">
        <f>Fixed_Time!J11</f>
        <v>#DIV/0!</v>
      </c>
      <c r="S20" s="49" t="s">
        <v>227</v>
      </c>
      <c r="T20" s="52">
        <f>Inputs!G8</f>
        <v>0</v>
      </c>
      <c r="U20" s="341" t="s">
        <v>226</v>
      </c>
      <c r="V20" s="341" t="s">
        <v>226</v>
      </c>
    </row>
    <row r="21" spans="1:22" ht="20" customHeight="1">
      <c r="A21" s="106"/>
      <c r="B21" s="141"/>
      <c r="C21" s="127"/>
      <c r="D21" s="455" t="str">
        <f>Fixed_Weight!I14</f>
        <v xml:space="preserve">  Total feed cost &amp; facility cost, $/pig</v>
      </c>
      <c r="E21" s="455"/>
      <c r="F21" s="455"/>
      <c r="G21" s="128" t="e">
        <f t="shared" si="3"/>
        <v>#DIV/0!</v>
      </c>
      <c r="H21" s="128" t="e">
        <f>IF(Inputs!$H$14=1,Outputs!Q23,IF(Inputs!$H$14=2,Outputs!R23,""))</f>
        <v>#DIV/0!</v>
      </c>
      <c r="I21" s="16"/>
      <c r="J21" s="16"/>
      <c r="K21" s="16"/>
      <c r="L21" s="16"/>
      <c r="M21" s="16"/>
      <c r="O21" s="6" t="str">
        <f t="shared" si="4"/>
        <v xml:space="preserve">  Total feed, kg/pig</v>
      </c>
      <c r="P21" s="222" t="e">
        <f>CalculationsCurrent!J12</f>
        <v>#DIV/0!</v>
      </c>
      <c r="Q21" s="222" t="e">
        <f>Fixed_Weight!J12</f>
        <v>#DIV/0!</v>
      </c>
      <c r="R21" s="222" t="e">
        <f>Fixed_Time!J12</f>
        <v>#DIV/0!</v>
      </c>
      <c r="S21" s="49" t="s">
        <v>228</v>
      </c>
      <c r="T21" s="52" t="e">
        <f>P15</f>
        <v>#DIV/0!</v>
      </c>
      <c r="U21" s="340" t="e">
        <f>Q15</f>
        <v>#DIV/0!</v>
      </c>
      <c r="V21" s="340" t="e">
        <f>R15</f>
        <v>#DIV/0!</v>
      </c>
    </row>
    <row r="22" spans="1:22" ht="20" customHeight="1">
      <c r="A22" s="106"/>
      <c r="B22" s="141"/>
      <c r="C22" s="140"/>
      <c r="D22" s="455" t="str">
        <f>Fixed_Weight!I15</f>
        <v xml:space="preserve">  Gross Income, $/pig</v>
      </c>
      <c r="E22" s="455"/>
      <c r="F22" s="455"/>
      <c r="G22" s="128" t="e">
        <f t="shared" si="3"/>
        <v>#DIV/0!</v>
      </c>
      <c r="H22" s="128" t="e">
        <f>IF(Inputs!$H$14=1,Outputs!Q24,IF(Inputs!$H$14=2,Outputs!R24,""))</f>
        <v>#DIV/0!</v>
      </c>
      <c r="I22" s="16"/>
      <c r="J22" s="16"/>
      <c r="K22" s="16"/>
      <c r="L22" s="16"/>
      <c r="M22" s="16"/>
      <c r="O22" s="6" t="str">
        <f t="shared" si="4"/>
        <v xml:space="preserve">  Total feed cost, $/pig</v>
      </c>
      <c r="P22" s="222" t="e">
        <f>CalculationsCurrent!J13</f>
        <v>#DIV/0!</v>
      </c>
      <c r="Q22" s="222" t="e">
        <f>Fixed_Weight!J13</f>
        <v>#DIV/0!</v>
      </c>
      <c r="R22" s="222" t="e">
        <f>Fixed_Time!J13</f>
        <v>#DIV/0!</v>
      </c>
      <c r="S22" s="49" t="s">
        <v>224</v>
      </c>
      <c r="T22" s="52" t="e">
        <f>T20-T21</f>
        <v>#DIV/0!</v>
      </c>
      <c r="U22" s="52" t="e">
        <f>$T$22</f>
        <v>#DIV/0!</v>
      </c>
      <c r="V22" s="52" t="e">
        <f>$T$22</f>
        <v>#DIV/0!</v>
      </c>
    </row>
    <row r="23" spans="1:22" ht="20" customHeight="1">
      <c r="A23" s="106"/>
      <c r="B23" s="142"/>
      <c r="C23" s="127"/>
      <c r="D23" s="455" t="str">
        <f>Fixed_Weight!I16</f>
        <v xml:space="preserve">  IOFC, $/pig</v>
      </c>
      <c r="E23" s="455"/>
      <c r="F23" s="455"/>
      <c r="G23" s="128" t="e">
        <f t="shared" si="3"/>
        <v>#DIV/0!</v>
      </c>
      <c r="H23" s="128" t="e">
        <f>IF(Inputs!$H$14=1,Outputs!Q25,IF(Inputs!$H$14=2,Outputs!R25,""))</f>
        <v>#DIV/0!</v>
      </c>
      <c r="I23" s="16"/>
      <c r="J23" s="16"/>
      <c r="K23" s="16"/>
      <c r="L23" s="16"/>
      <c r="M23" s="16"/>
      <c r="O23" s="6" t="str">
        <f t="shared" si="4"/>
        <v xml:space="preserve">  Total feed cost &amp; facility cost, $/pig</v>
      </c>
      <c r="P23" s="222" t="e">
        <f>CalculationsCurrent!J14</f>
        <v>#DIV/0!</v>
      </c>
      <c r="Q23" s="222" t="e">
        <f>Fixed_Weight!J14</f>
        <v>#DIV/0!</v>
      </c>
      <c r="R23" s="222" t="e">
        <f>Fixed_Time!J14</f>
        <v>#DIV/0!</v>
      </c>
      <c r="S23" s="49" t="s">
        <v>225</v>
      </c>
      <c r="T23" s="52" t="e">
        <f>T21+(T22)</f>
        <v>#DIV/0!</v>
      </c>
      <c r="U23" s="52" t="e">
        <f t="shared" ref="U23" si="5">U21+(U22)</f>
        <v>#DIV/0!</v>
      </c>
      <c r="V23" s="52" t="e">
        <f t="shared" ref="V23" si="6">V21+(V22)</f>
        <v>#DIV/0!</v>
      </c>
    </row>
    <row r="24" spans="1:22" ht="20" customHeight="1">
      <c r="A24" s="106"/>
      <c r="B24" s="142"/>
      <c r="C24" s="140"/>
      <c r="D24" s="455" t="str">
        <f>Fixed_Weight!I18</f>
        <v xml:space="preserve">  IOFFC Live, $/pig</v>
      </c>
      <c r="E24" s="455"/>
      <c r="F24" s="455"/>
      <c r="G24" s="128" t="e">
        <f t="shared" si="3"/>
        <v>#DIV/0!</v>
      </c>
      <c r="H24" s="128" t="e">
        <f>IF(Inputs!$H$14=1,Outputs!Q26,IF(Inputs!$H$14=2,Outputs!R26,""))</f>
        <v>#DIV/0!</v>
      </c>
      <c r="I24" s="16"/>
      <c r="J24" s="16"/>
      <c r="K24" s="16"/>
      <c r="L24" s="16"/>
      <c r="M24" s="16"/>
      <c r="O24" s="6" t="str">
        <f t="shared" si="4"/>
        <v xml:space="preserve">  Gross Income, $/pig</v>
      </c>
      <c r="P24" s="222" t="e">
        <f>CalculationsCurrent!J15</f>
        <v>#DIV/0!</v>
      </c>
      <c r="Q24" s="222">
        <f>Fixed_Weight!J15</f>
        <v>0</v>
      </c>
      <c r="R24" s="222" t="e">
        <f>Fixed_Time!J15</f>
        <v>#DIV/0!</v>
      </c>
    </row>
    <row r="25" spans="1:22" ht="20" customHeight="1">
      <c r="A25" s="106"/>
      <c r="B25" s="142"/>
      <c r="C25" s="199"/>
      <c r="D25" s="455" t="str">
        <f>Fixed_Weight!I19</f>
        <v xml:space="preserve">  IOFFC Carcass, $/pig</v>
      </c>
      <c r="E25" s="455"/>
      <c r="F25" s="455"/>
      <c r="G25" s="128" t="e">
        <f t="shared" si="3"/>
        <v>#DIV/0!</v>
      </c>
      <c r="H25" s="128" t="e">
        <f>IF(Inputs!$H$14=1,Outputs!Q27,IF(Inputs!$H$14=2,Outputs!R27,""))</f>
        <v>#DIV/0!</v>
      </c>
      <c r="I25" s="16"/>
      <c r="J25" s="16"/>
      <c r="K25" s="16"/>
      <c r="L25" s="16"/>
      <c r="M25" s="16"/>
      <c r="O25" s="6" t="str">
        <f t="shared" si="4"/>
        <v xml:space="preserve">  IOFC, $/pig</v>
      </c>
      <c r="P25" s="222" t="e">
        <f>CalculationsCurrent!J17</f>
        <v>#DIV/0!</v>
      </c>
      <c r="Q25" s="222" t="e">
        <f>Fixed_Weight!J16</f>
        <v>#DIV/0!</v>
      </c>
      <c r="R25" s="222" t="e">
        <f>Fixed_Time!J16</f>
        <v>#DIV/0!</v>
      </c>
    </row>
    <row r="26" spans="1:22" ht="20" customHeight="1">
      <c r="A26" s="106"/>
      <c r="B26" s="143"/>
      <c r="C26" s="140"/>
      <c r="D26" s="455" t="str">
        <f>IF(Inputs!$H$13=1,$O$28,IF(Inputs!$H$13=2, $O$29,""))</f>
        <v xml:space="preserve">  IOTC Carcass, $/pig</v>
      </c>
      <c r="E26" s="455"/>
      <c r="F26" s="455"/>
      <c r="G26" s="128" t="e">
        <f>VLOOKUP(D26,$O$28:$P$29,2,FALSE)</f>
        <v>#DIV/0!</v>
      </c>
      <c r="H26" s="128" t="e">
        <f>(IF(AND(Inputs!$H$14=1,Inputs!$H$13=1),$Q$28,IF(AND(Inputs!$H$14=1,Inputs!$H$13=2),$Q$29,IF(AND(Inputs!$H$14=2,Inputs!$H$13=1),$R$28,IF(AND(Inputs!$H$14=2,Inputs!$H$13=2),Outputs!R29,"")))))</f>
        <v>#DIV/0!</v>
      </c>
      <c r="I26" s="16"/>
      <c r="J26" s="16"/>
      <c r="K26" s="16"/>
      <c r="L26" s="16"/>
      <c r="M26" s="16"/>
      <c r="O26" s="6" t="str">
        <f t="shared" si="4"/>
        <v xml:space="preserve">  IOFFC Live, $/pig</v>
      </c>
      <c r="P26" s="222" t="e">
        <f>CalculationsCurrent!J18</f>
        <v>#DIV/0!</v>
      </c>
      <c r="Q26" s="222" t="e">
        <f>Fixed_Weight!J18</f>
        <v>#DIV/0!</v>
      </c>
      <c r="R26" s="222" t="e">
        <f>Fixed_Time!J18</f>
        <v>#DIV/0!</v>
      </c>
    </row>
    <row r="27" spans="1:22" ht="20" customHeight="1">
      <c r="A27" s="106"/>
      <c r="B27" s="143"/>
      <c r="C27" s="140"/>
      <c r="D27" s="455" t="s">
        <v>229</v>
      </c>
      <c r="E27" s="455"/>
      <c r="F27" s="455"/>
      <c r="H27" s="343" t="e">
        <f>$H$26-$G$26</f>
        <v>#DIV/0!</v>
      </c>
      <c r="I27" s="16"/>
      <c r="J27" s="16"/>
      <c r="K27" s="16"/>
      <c r="L27" s="16"/>
      <c r="M27" s="16"/>
      <c r="O27" s="6" t="str">
        <f t="shared" si="4"/>
        <v xml:space="preserve">  IOFFC Carcass, $/pig</v>
      </c>
      <c r="P27" s="222" t="e">
        <f>CalculationsCurrent!J19</f>
        <v>#DIV/0!</v>
      </c>
      <c r="Q27" s="222" t="e">
        <f>Fixed_Weight!J19</f>
        <v>#DIV/0!</v>
      </c>
      <c r="R27" s="222" t="e">
        <f>Fixed_Time!J19</f>
        <v>#DIV/0!</v>
      </c>
    </row>
    <row r="28" spans="1:22" ht="20" customHeight="1">
      <c r="A28" s="67"/>
      <c r="B28" s="97"/>
      <c r="C28" s="12"/>
      <c r="D28" s="12"/>
      <c r="E28" s="12"/>
      <c r="F28" s="95"/>
      <c r="G28" s="12"/>
      <c r="H28" s="17"/>
      <c r="I28" s="3"/>
      <c r="J28" s="3"/>
      <c r="N28" s="50"/>
      <c r="O28" s="339" t="str">
        <f>Fixed_Weight!I20</f>
        <v xml:space="preserve">  IOTC Live, $/pig</v>
      </c>
      <c r="P28" s="222" t="e">
        <f>CalculationsCurrent!J20</f>
        <v>#DIV/0!</v>
      </c>
      <c r="Q28" s="222" t="e">
        <f>Fixed_Weight!J20</f>
        <v>#DIV/0!</v>
      </c>
      <c r="R28" s="222" t="e">
        <f>Fixed_Time!J20</f>
        <v>#DIV/0!</v>
      </c>
    </row>
    <row r="29" spans="1:22" ht="20" customHeight="1" thickBot="1">
      <c r="A29" s="450"/>
      <c r="B29" s="450"/>
      <c r="C29" s="450"/>
      <c r="D29" s="450"/>
      <c r="E29" s="450"/>
      <c r="F29" s="450"/>
      <c r="G29" s="450"/>
      <c r="H29" s="450"/>
      <c r="I29" s="450"/>
      <c r="J29" s="450"/>
      <c r="K29" s="450"/>
      <c r="L29" s="450"/>
      <c r="M29" s="450"/>
      <c r="N29" s="50"/>
      <c r="O29" s="339" t="str">
        <f>Fixed_Weight!I21</f>
        <v xml:space="preserve">  IOTC Carcass, $/pig</v>
      </c>
      <c r="P29" s="222" t="e">
        <f>CalculationsCurrent!J21</f>
        <v>#DIV/0!</v>
      </c>
      <c r="Q29" s="222" t="e">
        <f>Fixed_Weight!J21</f>
        <v>#DIV/0!</v>
      </c>
      <c r="R29" s="222" t="e">
        <f>Fixed_Time!J21</f>
        <v>#DIV/0!</v>
      </c>
    </row>
    <row r="30" spans="1:22" ht="20" customHeight="1" thickTop="1">
      <c r="A30" s="67"/>
      <c r="B30" s="97"/>
      <c r="C30" s="12"/>
      <c r="D30" s="12"/>
      <c r="E30" s="12"/>
      <c r="F30" s="94"/>
      <c r="G30" s="12"/>
      <c r="H30" s="12"/>
      <c r="I30" s="12"/>
      <c r="J30" s="12"/>
    </row>
    <row r="31" spans="1:22" ht="20" customHeight="1">
      <c r="A31" s="67"/>
      <c r="B31" s="97"/>
      <c r="C31" s="12"/>
      <c r="D31" s="12"/>
      <c r="E31" s="12"/>
      <c r="F31" s="75"/>
      <c r="G31" s="12"/>
    </row>
    <row r="32" spans="1:22" ht="20" customHeight="1">
      <c r="A32" s="67"/>
      <c r="B32" s="97"/>
      <c r="C32" s="12"/>
      <c r="D32" s="12"/>
      <c r="E32" s="12"/>
      <c r="F32" s="75"/>
      <c r="G32" s="12"/>
    </row>
    <row r="33" spans="1:8" ht="20" customHeight="1">
      <c r="A33" s="67"/>
      <c r="B33" s="74"/>
      <c r="C33" s="89"/>
      <c r="D33" s="89"/>
      <c r="E33" s="89"/>
      <c r="F33" s="89"/>
      <c r="G33" s="12"/>
      <c r="H33" s="90"/>
    </row>
    <row r="34" spans="1:8" ht="20" customHeight="1">
      <c r="A34" s="67"/>
      <c r="B34" s="74"/>
      <c r="C34" s="89"/>
      <c r="D34" s="89"/>
      <c r="E34" s="89"/>
      <c r="F34" s="89"/>
      <c r="G34" s="12"/>
      <c r="H34" s="90"/>
    </row>
    <row r="35" spans="1:8" ht="20" customHeight="1">
      <c r="A35" s="67"/>
      <c r="B35" s="74"/>
      <c r="C35" s="89"/>
      <c r="D35" s="89"/>
      <c r="E35" s="89"/>
      <c r="F35" s="89"/>
      <c r="G35" s="12"/>
      <c r="H35" s="90"/>
    </row>
    <row r="36" spans="1:8" ht="20" customHeight="1">
      <c r="A36" s="67"/>
      <c r="B36" s="74"/>
      <c r="C36" s="89"/>
      <c r="D36" s="89"/>
      <c r="E36" s="89"/>
      <c r="F36" s="89"/>
      <c r="G36" s="12"/>
      <c r="H36" s="90"/>
    </row>
    <row r="37" spans="1:8" ht="20" customHeight="1">
      <c r="A37" s="67"/>
      <c r="B37" s="74"/>
      <c r="C37" s="89"/>
      <c r="D37" s="89"/>
      <c r="E37" s="89"/>
      <c r="F37" s="89"/>
      <c r="G37" s="12"/>
      <c r="H37" s="90"/>
    </row>
    <row r="38" spans="1:8" ht="20" customHeight="1">
      <c r="A38" s="67"/>
      <c r="B38" s="74"/>
      <c r="C38" s="89"/>
      <c r="D38" s="89"/>
      <c r="E38" s="89"/>
      <c r="F38" s="89"/>
      <c r="G38" s="12"/>
      <c r="H38" s="90"/>
    </row>
    <row r="39" spans="1:8" ht="20" customHeight="1">
      <c r="A39" s="67"/>
      <c r="B39" s="74"/>
      <c r="C39" s="89"/>
      <c r="D39" s="89"/>
      <c r="E39" s="89"/>
      <c r="F39" s="89"/>
      <c r="G39" s="12"/>
      <c r="H39" s="90"/>
    </row>
    <row r="40" spans="1:8" ht="20" customHeight="1">
      <c r="A40" s="17"/>
      <c r="B40" s="98"/>
      <c r="C40" s="17"/>
      <c r="D40" s="17"/>
      <c r="E40" s="17"/>
      <c r="F40" s="17"/>
      <c r="G40" s="17"/>
    </row>
    <row r="41" spans="1:8" ht="20" customHeight="1">
      <c r="A41" s="17"/>
      <c r="B41" s="98"/>
      <c r="C41" s="92"/>
      <c r="D41" s="92"/>
      <c r="E41" s="19"/>
      <c r="F41" s="17"/>
      <c r="G41" s="17"/>
    </row>
    <row r="42" spans="1:8" ht="20" customHeight="1">
      <c r="A42" s="17"/>
      <c r="B42" s="96"/>
      <c r="C42" s="44"/>
      <c r="D42" s="44"/>
      <c r="E42" s="11"/>
      <c r="F42" s="17"/>
      <c r="G42" s="17"/>
    </row>
    <row r="43" spans="1:8" ht="20" customHeight="1">
      <c r="A43" s="17"/>
      <c r="B43" s="96"/>
      <c r="C43" s="44"/>
      <c r="D43" s="44"/>
      <c r="E43" s="11"/>
      <c r="F43" s="17"/>
      <c r="G43" s="17"/>
    </row>
    <row r="44" spans="1:8" ht="20" customHeight="1">
      <c r="A44" s="17"/>
      <c r="B44" s="96"/>
      <c r="C44" s="44"/>
      <c r="D44" s="44"/>
      <c r="E44" s="11"/>
      <c r="F44" s="17"/>
      <c r="G44" s="17"/>
    </row>
    <row r="45" spans="1:8" ht="20" customHeight="1">
      <c r="A45" s="17"/>
      <c r="B45" s="96"/>
      <c r="C45" s="44"/>
      <c r="D45" s="44"/>
      <c r="E45" s="11"/>
      <c r="F45" s="17"/>
      <c r="G45" s="17"/>
    </row>
    <row r="46" spans="1:8" ht="20" customHeight="1">
      <c r="A46" s="17"/>
      <c r="B46" s="96"/>
      <c r="C46" s="44"/>
      <c r="D46" s="44"/>
      <c r="E46" s="11"/>
      <c r="F46" s="17"/>
      <c r="G46" s="17"/>
    </row>
    <row r="47" spans="1:8" ht="20" customHeight="1">
      <c r="A47" s="17"/>
      <c r="B47" s="96"/>
      <c r="C47" s="44"/>
      <c r="D47" s="44"/>
      <c r="E47" s="11"/>
      <c r="F47" s="17"/>
      <c r="G47" s="17"/>
    </row>
    <row r="48" spans="1:8" ht="20" customHeight="1">
      <c r="A48" s="17"/>
      <c r="E48" s="44"/>
      <c r="F48" s="17"/>
      <c r="G48" s="17"/>
    </row>
    <row r="49" spans="1:10" s="5" customFormat="1" ht="20" customHeight="1">
      <c r="A49" s="17"/>
      <c r="B49" s="99"/>
      <c r="C49"/>
      <c r="D49"/>
      <c r="E49"/>
      <c r="F49"/>
      <c r="G49" s="17"/>
      <c r="H49" s="13"/>
      <c r="I49" s="13"/>
      <c r="J49" s="13"/>
    </row>
    <row r="50" spans="1:10" s="5" customFormat="1" ht="20" customHeight="1">
      <c r="A50"/>
      <c r="B50" s="99"/>
      <c r="C50"/>
      <c r="D50"/>
      <c r="E50"/>
      <c r="F50"/>
      <c r="G50"/>
      <c r="H50"/>
      <c r="I50"/>
      <c r="J50"/>
    </row>
    <row r="51" spans="1:10" s="5" customFormat="1" ht="20" customHeight="1">
      <c r="A51"/>
      <c r="B51" s="99"/>
      <c r="C51"/>
      <c r="D51"/>
      <c r="E51"/>
      <c r="F51"/>
      <c r="G51"/>
      <c r="H51"/>
      <c r="I51"/>
      <c r="J51"/>
    </row>
    <row r="52" spans="1:10" ht="20" customHeight="1"/>
    <row r="53" spans="1:10" ht="20" customHeight="1"/>
    <row r="54" spans="1:10" ht="20" customHeight="1"/>
    <row r="55" spans="1:10" ht="20" customHeight="1"/>
    <row r="56" spans="1:10" ht="20" customHeight="1"/>
    <row r="57" spans="1:10" ht="20" customHeight="1"/>
    <row r="58" spans="1:10" ht="20" customHeight="1"/>
    <row r="59" spans="1:10" ht="20" customHeight="1"/>
    <row r="60" spans="1:10" ht="20" customHeight="1"/>
    <row r="61" spans="1:10" ht="20" customHeight="1"/>
    <row r="62" spans="1:10" ht="20" customHeight="1"/>
    <row r="63" spans="1:10" ht="20" customHeight="1"/>
    <row r="64" spans="1:10" ht="20" customHeight="1"/>
    <row r="65" ht="20" customHeight="1"/>
    <row r="66" ht="20" customHeight="1"/>
    <row r="67" ht="20" customHeight="1"/>
    <row r="68" ht="20" customHeight="1"/>
    <row r="69" ht="20" customHeight="1"/>
    <row r="70" ht="20" customHeight="1"/>
    <row r="71" ht="20" customHeight="1"/>
    <row r="72" ht="20" customHeight="1"/>
    <row r="73" ht="20" customHeight="1"/>
    <row r="74" ht="20" customHeight="1"/>
    <row r="75" ht="20" customHeight="1"/>
    <row r="76" ht="20" customHeight="1"/>
    <row r="77" ht="20" customHeight="1"/>
    <row r="78" ht="20" customHeight="1"/>
    <row r="79" ht="20" customHeight="1"/>
    <row r="80" ht="20" customHeight="1"/>
    <row r="81" ht="20" customHeight="1"/>
    <row r="82" ht="20" customHeight="1"/>
    <row r="83" ht="20" customHeight="1"/>
    <row r="84" ht="20" customHeight="1"/>
    <row r="85" ht="20" customHeight="1"/>
    <row r="86" ht="20" customHeight="1"/>
    <row r="87" ht="20" customHeight="1"/>
    <row r="88" ht="20" customHeight="1"/>
    <row r="89" ht="20" customHeight="1"/>
    <row r="90" ht="20" customHeight="1"/>
    <row r="91" ht="20" customHeight="1"/>
    <row r="92" ht="20" customHeight="1"/>
    <row r="93" ht="20" customHeight="1"/>
    <row r="94" ht="20" customHeight="1"/>
    <row r="95" ht="20" customHeight="1"/>
    <row r="96" ht="20" customHeight="1"/>
    <row r="97" ht="20" customHeight="1"/>
    <row r="98" ht="20" customHeight="1"/>
    <row r="99" ht="20" customHeight="1"/>
    <row r="100" ht="20" customHeight="1"/>
    <row r="101" ht="20" customHeight="1"/>
    <row r="102" ht="20" customHeight="1"/>
    <row r="103" ht="20" customHeight="1"/>
    <row r="104" ht="20" customHeight="1"/>
    <row r="105" ht="20" customHeight="1"/>
    <row r="106" ht="20" customHeight="1"/>
    <row r="107" ht="20" customHeight="1"/>
    <row r="108" ht="20" customHeight="1"/>
    <row r="109" ht="20" customHeight="1"/>
    <row r="110" ht="20" customHeight="1"/>
    <row r="111" ht="20" customHeight="1"/>
    <row r="112" ht="20" customHeight="1"/>
    <row r="113" ht="20" customHeight="1"/>
    <row r="114" ht="20" customHeight="1"/>
    <row r="115" ht="20" customHeight="1"/>
    <row r="116" ht="20" customHeight="1"/>
    <row r="117" ht="20" customHeight="1"/>
    <row r="118" ht="20" customHeight="1"/>
    <row r="119" ht="20" customHeight="1"/>
    <row r="120" ht="20" customHeight="1"/>
    <row r="121" ht="20" customHeight="1"/>
    <row r="122" ht="20" customHeight="1"/>
    <row r="123" ht="20" customHeight="1"/>
    <row r="124" ht="20" customHeight="1"/>
    <row r="125" ht="20" customHeight="1"/>
    <row r="126" ht="20" customHeight="1"/>
    <row r="127" ht="20" customHeight="1"/>
    <row r="128" ht="20" customHeight="1"/>
    <row r="129" ht="20" customHeight="1"/>
    <row r="130" ht="20" customHeight="1"/>
    <row r="131" ht="20" customHeight="1"/>
    <row r="132" ht="20" customHeight="1"/>
    <row r="133" ht="20" customHeight="1"/>
    <row r="134" ht="20" customHeight="1"/>
    <row r="135" ht="20" customHeight="1"/>
    <row r="136" ht="20" customHeight="1"/>
    <row r="137" ht="20" customHeight="1"/>
    <row r="138" ht="20" customHeight="1"/>
    <row r="139" ht="20" customHeight="1"/>
    <row r="140" ht="20" customHeight="1"/>
    <row r="141" ht="20" customHeight="1"/>
    <row r="142" ht="20" customHeight="1"/>
    <row r="143" ht="20" customHeight="1"/>
    <row r="144" ht="20" customHeight="1"/>
    <row r="145" ht="20" customHeight="1"/>
    <row r="146" ht="20" customHeight="1"/>
    <row r="147" ht="20" customHeight="1"/>
    <row r="148" ht="20" customHeight="1"/>
    <row r="149" ht="20" customHeight="1"/>
    <row r="150" ht="20" customHeight="1"/>
    <row r="151" ht="20" customHeight="1"/>
    <row r="152" ht="20" customHeight="1"/>
    <row r="153" ht="20" customHeight="1"/>
    <row r="154" ht="20" customHeight="1"/>
    <row r="155" ht="20" customHeight="1"/>
    <row r="156" ht="20" customHeight="1"/>
    <row r="157" ht="20" customHeight="1"/>
    <row r="158" ht="20" customHeight="1"/>
    <row r="159" ht="20" customHeight="1"/>
    <row r="160" ht="20" customHeight="1"/>
    <row r="161" ht="20" customHeight="1"/>
    <row r="162" ht="20" customHeight="1"/>
    <row r="163" ht="20" customHeight="1"/>
    <row r="164" ht="20" customHeight="1"/>
    <row r="165" ht="20" customHeight="1"/>
    <row r="166" ht="20" customHeight="1"/>
    <row r="167" ht="20" customHeight="1"/>
    <row r="168" ht="20" customHeight="1"/>
    <row r="169" ht="20" customHeight="1"/>
    <row r="170" ht="20" customHeight="1"/>
    <row r="171" ht="20" customHeight="1"/>
    <row r="172" ht="20" customHeight="1"/>
    <row r="173" ht="20" customHeight="1"/>
    <row r="174" ht="20" customHeight="1"/>
    <row r="175" ht="20" customHeight="1"/>
    <row r="176" ht="20" customHeight="1"/>
    <row r="177" ht="20" customHeight="1"/>
    <row r="178" ht="20" customHeight="1"/>
    <row r="179" ht="20" customHeight="1"/>
    <row r="180" ht="20" customHeight="1"/>
    <row r="181" ht="20" customHeight="1"/>
    <row r="182" ht="20" customHeight="1"/>
    <row r="183" ht="20" customHeight="1"/>
    <row r="184" ht="20" customHeight="1"/>
    <row r="185" ht="20" customHeight="1"/>
    <row r="186" ht="20" customHeight="1"/>
    <row r="187" ht="20" customHeight="1"/>
    <row r="188" ht="20" customHeight="1"/>
    <row r="189" ht="20" customHeight="1"/>
    <row r="190" ht="20" customHeight="1"/>
    <row r="191" ht="20" customHeight="1"/>
    <row r="192" ht="20" customHeight="1"/>
    <row r="193" ht="20" customHeight="1"/>
    <row r="194" ht="20" customHeight="1"/>
    <row r="195" ht="20" customHeight="1"/>
    <row r="196" ht="20" customHeight="1"/>
    <row r="197" ht="20" customHeight="1"/>
    <row r="198" ht="20" customHeight="1"/>
    <row r="199" ht="20" customHeight="1"/>
    <row r="200" ht="20" customHeight="1"/>
    <row r="201" ht="20" customHeight="1"/>
    <row r="202" ht="20" customHeight="1"/>
    <row r="203" ht="20" customHeight="1"/>
    <row r="204" ht="20" customHeight="1"/>
    <row r="205" ht="20" customHeight="1"/>
    <row r="206" ht="20" customHeight="1"/>
    <row r="207" ht="20" customHeight="1"/>
    <row r="208" ht="20" customHeight="1"/>
    <row r="209" ht="20" customHeight="1"/>
    <row r="210" ht="20" customHeight="1"/>
    <row r="211" ht="20" customHeight="1"/>
    <row r="212" ht="20" customHeight="1"/>
    <row r="213" ht="20" customHeight="1"/>
    <row r="214" ht="20" customHeight="1"/>
    <row r="215" ht="20" customHeight="1"/>
    <row r="216" ht="20" customHeight="1"/>
    <row r="217" ht="20" customHeight="1"/>
    <row r="218" ht="20" customHeight="1"/>
    <row r="219" ht="20" customHeight="1"/>
    <row r="220" ht="20" customHeight="1"/>
    <row r="221" ht="20" customHeight="1"/>
    <row r="222" ht="20" customHeight="1"/>
    <row r="223" ht="20" customHeight="1"/>
    <row r="224" ht="20" customHeight="1"/>
    <row r="225" ht="20" customHeight="1"/>
    <row r="226" ht="20" customHeight="1"/>
    <row r="227" ht="20" customHeight="1"/>
    <row r="228" ht="20" customHeight="1"/>
    <row r="229" ht="20" customHeight="1"/>
    <row r="230" ht="20" customHeight="1"/>
    <row r="231" ht="20" customHeight="1"/>
    <row r="232" ht="20" customHeight="1"/>
    <row r="233" ht="20" customHeight="1"/>
    <row r="234" ht="20" customHeight="1"/>
  </sheetData>
  <sheetProtection sheet="1" objects="1" scenarios="1"/>
  <mergeCells count="28">
    <mergeCell ref="D27:F27"/>
    <mergeCell ref="A15:M15"/>
    <mergeCell ref="D16:F17"/>
    <mergeCell ref="B6:B7"/>
    <mergeCell ref="E6:E7"/>
    <mergeCell ref="G6:G7"/>
    <mergeCell ref="H6:H7"/>
    <mergeCell ref="I6:I7"/>
    <mergeCell ref="C6:D6"/>
    <mergeCell ref="G13:I13"/>
    <mergeCell ref="J6:J7"/>
    <mergeCell ref="B14:G14"/>
    <mergeCell ref="G29:M29"/>
    <mergeCell ref="A29:F29"/>
    <mergeCell ref="A1:M3"/>
    <mergeCell ref="A4:F4"/>
    <mergeCell ref="G4:M4"/>
    <mergeCell ref="G16:G17"/>
    <mergeCell ref="H16:H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</mergeCells>
  <pageMargins left="0.7" right="0.7" top="0.75" bottom="0.75" header="0.3" footer="0.3"/>
  <pageSetup scale="41" orientation="portrait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83" id="{25ABD10F-72A5-48D4-8502-666EBD79E0EC}">
            <xm:f>Inputs!$H$19=2</xm:f>
            <x14:dxf>
              <font>
                <b val="0"/>
                <i val="0"/>
                <color theme="1"/>
              </font>
            </x14:dxf>
          </x14:cfRule>
          <xm:sqref>A16</xm:sqref>
        </x14:conditionalFormatting>
        <x14:conditionalFormatting xmlns:xm="http://schemas.microsoft.com/office/excel/2006/main">
          <x14:cfRule type="expression" priority="180" id="{032353D5-3BCD-442F-88D6-353C26E16671}">
            <xm:f>Inputs!$N$3=6</xm:f>
            <x14:dxf>
              <font>
                <color theme="1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F31:F32</xm:sqref>
        </x14:conditionalFormatting>
        <x14:conditionalFormatting xmlns:xm="http://schemas.microsoft.com/office/excel/2006/main">
          <x14:cfRule type="expression" priority="169" id="{D163AA07-1DAD-481B-B373-1902FA5793C2}">
            <xm:f>Inputs!N3=6</xm:f>
            <x14:dxf>
              <font>
                <color theme="1"/>
              </font>
            </x14:dxf>
          </x14:cfRule>
          <xm:sqref>F33</xm:sqref>
        </x14:conditionalFormatting>
        <x14:conditionalFormatting xmlns:xm="http://schemas.microsoft.com/office/excel/2006/main">
          <x14:cfRule type="expression" priority="168" id="{A1AF181A-743B-460B-9408-B4830815049A}">
            <xm:f>Inputs!N3=6</xm:f>
            <x14:dxf>
              <font>
                <color theme="1"/>
              </font>
            </x14:dxf>
          </x14:cfRule>
          <xm:sqref>F34</xm:sqref>
        </x14:conditionalFormatting>
        <x14:conditionalFormatting xmlns:xm="http://schemas.microsoft.com/office/excel/2006/main">
          <x14:cfRule type="expression" priority="167" id="{8F313E86-730C-423E-BD6B-AAF1BFF69651}">
            <xm:f>Inputs!N3=6</xm:f>
            <x14:dxf>
              <font>
                <color theme="1"/>
              </font>
            </x14:dxf>
          </x14:cfRule>
          <xm:sqref>F35</xm:sqref>
        </x14:conditionalFormatting>
        <x14:conditionalFormatting xmlns:xm="http://schemas.microsoft.com/office/excel/2006/main">
          <x14:cfRule type="expression" priority="166" id="{B3800464-7D40-42A4-8D19-B7C7374D4B69}">
            <xm:f>Inputs!N3=6</xm:f>
            <x14:dxf>
              <font>
                <color theme="1"/>
              </font>
            </x14:dxf>
          </x14:cfRule>
          <xm:sqref>F36</xm:sqref>
        </x14:conditionalFormatting>
        <x14:conditionalFormatting xmlns:xm="http://schemas.microsoft.com/office/excel/2006/main">
          <x14:cfRule type="expression" priority="165" id="{730DADCA-C210-473A-8809-DBED6C41CEFE}">
            <xm:f>Inputs!N3=6</xm:f>
            <x14:dxf>
              <font>
                <color theme="1"/>
              </font>
            </x14:dxf>
          </x14:cfRule>
          <xm:sqref>F37</xm:sqref>
        </x14:conditionalFormatting>
        <x14:conditionalFormatting xmlns:xm="http://schemas.microsoft.com/office/excel/2006/main">
          <x14:cfRule type="expression" priority="164" id="{7AC70F6C-F90B-4B34-99EF-4E40B0546446}">
            <xm:f>Inputs!N3=6</xm:f>
            <x14:dxf>
              <font>
                <color theme="1"/>
              </font>
            </x14:dxf>
          </x14:cfRule>
          <xm:sqref>F38</xm:sqref>
        </x14:conditionalFormatting>
        <x14:conditionalFormatting xmlns:xm="http://schemas.microsoft.com/office/excel/2006/main">
          <x14:cfRule type="expression" priority="163" id="{112AFC09-9228-47BC-ACB2-5CCD3CFF56D9}">
            <xm:f>Inputs!N3=6</xm:f>
            <x14:dxf>
              <font>
                <color theme="1"/>
              </font>
            </x14:dxf>
          </x14:cfRule>
          <xm:sqref>F39</xm:sqref>
        </x14:conditionalFormatting>
        <x14:conditionalFormatting xmlns:xm="http://schemas.microsoft.com/office/excel/2006/main">
          <x14:cfRule type="expression" priority="150" id="{757B82CF-C647-4166-B1B3-ED8AF0B69CAE}">
            <xm:f>Inputs!N3=4</xm:f>
            <x14:dxf>
              <font>
                <color theme="1"/>
              </font>
            </x14:dxf>
          </x14:cfRule>
          <x14:cfRule type="expression" priority="153" id="{2B94E3C1-97EC-4541-AB25-0633552A02E5}">
            <xm:f>Inputs!N3=5</xm:f>
            <x14:dxf>
              <font>
                <color theme="1"/>
              </font>
            </x14:dxf>
          </x14:cfRule>
          <xm:sqref>E34</xm:sqref>
        </x14:conditionalFormatting>
        <x14:conditionalFormatting xmlns:xm="http://schemas.microsoft.com/office/excel/2006/main">
          <x14:cfRule type="expression" priority="147" id="{8341DADC-379C-4B6C-8167-E4874987BF8E}">
            <xm:f>Inputs!N3=4</xm:f>
            <x14:dxf>
              <font>
                <color theme="1"/>
              </font>
            </x14:dxf>
          </x14:cfRule>
          <x14:cfRule type="expression" priority="152" id="{40F78360-C5BE-4C5B-BA28-403A2D31F1E4}">
            <xm:f>Inputs!N3=5</xm:f>
            <x14:dxf>
              <font>
                <color theme="1"/>
              </font>
            </x14:dxf>
          </x14:cfRule>
          <xm:sqref>E37</xm:sqref>
        </x14:conditionalFormatting>
        <x14:conditionalFormatting xmlns:xm="http://schemas.microsoft.com/office/excel/2006/main">
          <x14:cfRule type="expression" priority="151" id="{4847ABB2-49AA-4239-8F2B-B0CB27DDDFA0}">
            <xm:f>Inputs!N3=4</xm:f>
            <x14:dxf>
              <font>
                <color theme="1"/>
              </font>
            </x14:dxf>
          </x14:cfRule>
          <xm:sqref>E33</xm:sqref>
        </x14:conditionalFormatting>
        <x14:conditionalFormatting xmlns:xm="http://schemas.microsoft.com/office/excel/2006/main">
          <x14:cfRule type="expression" priority="149" id="{0CDCD1A2-6D74-4E9A-862F-AD52EE9499E2}">
            <xm:f>Inputs!N3=4</xm:f>
            <x14:dxf>
              <font>
                <color theme="1"/>
              </font>
            </x14:dxf>
          </x14:cfRule>
          <xm:sqref>E35</xm:sqref>
        </x14:conditionalFormatting>
        <x14:conditionalFormatting xmlns:xm="http://schemas.microsoft.com/office/excel/2006/main">
          <x14:cfRule type="expression" priority="148" id="{5F0937A3-60D8-4A31-8CE3-B56EDE3924BB}">
            <xm:f>Inputs!N3=4</xm:f>
            <x14:dxf>
              <font>
                <color theme="1"/>
              </font>
            </x14:dxf>
          </x14:cfRule>
          <xm:sqref>E36</xm:sqref>
        </x14:conditionalFormatting>
        <x14:conditionalFormatting xmlns:xm="http://schemas.microsoft.com/office/excel/2006/main">
          <x14:cfRule type="expression" priority="146" id="{B1A53805-D00A-49CE-B4EB-BE60C1BBC46C}">
            <xm:f>Inputs!N3=4</xm:f>
            <x14:dxf>
              <font>
                <color theme="1"/>
              </font>
            </x14:dxf>
          </x14:cfRule>
          <xm:sqref>E38</xm:sqref>
        </x14:conditionalFormatting>
        <x14:conditionalFormatting xmlns:xm="http://schemas.microsoft.com/office/excel/2006/main">
          <x14:cfRule type="expression" priority="145" id="{14F75C9C-FC79-408D-AD71-EE02BBA5D745}">
            <xm:f>Inputs!N3=4</xm:f>
            <x14:dxf>
              <font>
                <color theme="1"/>
              </font>
            </x14:dxf>
          </x14:cfRule>
          <xm:sqref>E39</xm:sqref>
        </x14:conditionalFormatting>
        <x14:conditionalFormatting xmlns:xm="http://schemas.microsoft.com/office/excel/2006/main">
          <x14:cfRule type="expression" priority="144" id="{DDBCE6C4-1A76-4926-B440-E675EC184802}">
            <xm:f>Inputs!N3=4</xm:f>
            <x14:dxf>
              <font>
                <color theme="1"/>
              </font>
            </x14:dxf>
          </x14:cfRule>
          <xm:sqref>D34</xm:sqref>
        </x14:conditionalFormatting>
        <x14:conditionalFormatting xmlns:xm="http://schemas.microsoft.com/office/excel/2006/main">
          <x14:cfRule type="expression" priority="143" id="{25A4C1C3-CCB9-44F5-8134-BC0296802CB2}">
            <xm:f>Inputs!N3=4</xm:f>
            <x14:dxf>
              <font>
                <color theme="1"/>
              </font>
            </x14:dxf>
          </x14:cfRule>
          <xm:sqref>D37</xm:sqref>
        </x14:conditionalFormatting>
        <x14:conditionalFormatting xmlns:xm="http://schemas.microsoft.com/office/excel/2006/main">
          <x14:cfRule type="expression" priority="137" id="{9B0AB362-568F-4D64-8CD3-8819D0702C8C}">
            <xm:f>Inputs!N4=6</xm:f>
            <x14:dxf>
              <font>
                <color theme="1"/>
              </font>
              <border>
                <left/>
                <right/>
                <top/>
                <bottom/>
                <vertical/>
                <horizontal/>
              </border>
            </x14:dxf>
          </x14:cfRule>
          <xm:sqref>B14</xm:sqref>
        </x14:conditionalFormatting>
        <x14:conditionalFormatting xmlns:xm="http://schemas.microsoft.com/office/excel/2006/main">
          <x14:cfRule type="expression" priority="34" id="{5D3F131F-019E-4EB5-BB7D-919ED3E4C6B9}">
            <xm:f>Inputs!N3=4</xm:f>
            <x14:dxf>
              <font>
                <color theme="0"/>
              </font>
            </x14:dxf>
          </x14:cfRule>
          <xm:sqref>B12</xm:sqref>
        </x14:conditionalFormatting>
        <x14:conditionalFormatting xmlns:xm="http://schemas.microsoft.com/office/excel/2006/main">
          <x14:cfRule type="expression" priority="33" id="{184B7371-7865-400B-BF52-BA8072ACA8A8}">
            <xm:f>Inputs!N3=4</xm:f>
            <x14:dxf>
              <font>
                <color theme="0"/>
              </font>
            </x14:dxf>
          </x14:cfRule>
          <xm:sqref>C12</xm:sqref>
        </x14:conditionalFormatting>
        <x14:conditionalFormatting xmlns:xm="http://schemas.microsoft.com/office/excel/2006/main">
          <x14:cfRule type="expression" priority="31" id="{A7452CF2-89F2-4A73-AADC-E5E960D90621}">
            <xm:f>Inputs!N3=4</xm:f>
            <x14:dxf>
              <font>
                <color theme="0"/>
              </font>
            </x14:dxf>
          </x14:cfRule>
          <xm:sqref>E12</xm:sqref>
        </x14:conditionalFormatting>
        <x14:conditionalFormatting xmlns:xm="http://schemas.microsoft.com/office/excel/2006/main">
          <x14:cfRule type="expression" priority="26" id="{1F729F21-F684-4F2B-BF2B-490D9F6C1A9C}">
            <xm:f>Inputs!N3=5</xm:f>
            <x14:dxf>
              <font>
                <color theme="0"/>
              </font>
            </x14:dxf>
          </x14:cfRule>
          <x14:cfRule type="expression" priority="30" id="{F483565E-F46A-432B-991C-7F610E6EBD17}">
            <xm:f>Inputs!N3=4</xm:f>
            <x14:dxf>
              <font>
                <color theme="0"/>
              </font>
            </x14:dxf>
          </x14:cfRule>
          <xm:sqref>B13</xm:sqref>
        </x14:conditionalFormatting>
        <x14:conditionalFormatting xmlns:xm="http://schemas.microsoft.com/office/excel/2006/main">
          <x14:cfRule type="expression" priority="25" id="{E15B8CC2-3AAB-487E-8E37-4AD45E1244AE}">
            <xm:f>Inputs!N3=5</xm:f>
            <x14:dxf>
              <font>
                <color theme="0"/>
              </font>
            </x14:dxf>
          </x14:cfRule>
          <x14:cfRule type="expression" priority="29" id="{5C1FD4B7-7F99-4801-918D-A8997BAFD3EC}">
            <xm:f>Inputs!N3=4</xm:f>
            <x14:dxf>
              <font>
                <color theme="0"/>
              </font>
            </x14:dxf>
          </x14:cfRule>
          <xm:sqref>C13</xm:sqref>
        </x14:conditionalFormatting>
        <x14:conditionalFormatting xmlns:xm="http://schemas.microsoft.com/office/excel/2006/main">
          <x14:cfRule type="expression" priority="23" id="{980B9428-BAD8-4329-868E-C325E7450CDA}">
            <xm:f>Inputs!N3=5</xm:f>
            <x14:dxf>
              <font>
                <color theme="0"/>
              </font>
            </x14:dxf>
          </x14:cfRule>
          <x14:cfRule type="expression" priority="27" id="{8C14408C-1C25-41FB-81FF-19295C083F87}">
            <xm:f>Inputs!N3=4</xm:f>
            <x14:dxf>
              <font>
                <color theme="0"/>
              </font>
            </x14:dxf>
          </x14:cfRule>
          <xm:sqref>E13</xm:sqref>
        </x14:conditionalFormatting>
        <x14:conditionalFormatting xmlns:xm="http://schemas.microsoft.com/office/excel/2006/main">
          <x14:cfRule type="expression" priority="6" id="{7AD48D3A-F179-49DE-883F-6B94B1E50EB3}">
            <xm:f>Inputs!$N$3=5</xm:f>
            <x14:dxf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14:cfRule type="expression" priority="8" id="{5022F858-DE63-44AE-AD30-EC795EFEDCD8}">
            <xm:f>$D$13='Inputs - Metric'!$O$12</xm:f>
            <x14:dxf>
              <fill>
                <patternFill>
                  <bgColor rgb="FFCCFF33"/>
                </patternFill>
              </fill>
            </x14:dxf>
          </x14:cfRule>
          <x14:cfRule type="expression" priority="14" id="{804893CE-BD19-458E-846E-62EA0E2A705A}">
            <xm:f>$D$13='Inputs - Metric'!$N$12</xm:f>
            <x14:dxf>
              <fill>
                <patternFill>
                  <bgColor rgb="FFFFFF99"/>
                </patternFill>
              </fill>
            </x14:dxf>
          </x14:cfRule>
          <x14:cfRule type="expression" priority="20" id="{D9733BD4-6387-4984-8EB3-7E4B880ED3C3}">
            <xm:f>Inputs!$N$3=5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14:cfRule type="expression" priority="22" id="{9D751AAB-61B5-4ACE-81B2-078469C02D03}">
            <xm:f>Inputs!$N$3=4</xm:f>
            <x14:dxf>
              <font>
                <color theme="0"/>
              </font>
              <border>
                <left/>
                <right/>
                <top/>
                <bottom/>
                <vertical/>
                <horizontal/>
              </border>
            </x14:dxf>
          </x14:cfRule>
          <xm:sqref>D13</xm:sqref>
        </x14:conditionalFormatting>
        <x14:conditionalFormatting xmlns:xm="http://schemas.microsoft.com/office/excel/2006/main">
          <x14:cfRule type="expression" priority="9" id="{82C7EE00-8310-4239-B354-FD5B9A44105A}">
            <xm:f>$D$12='Inputs - Metric'!$O$11</xm:f>
            <x14:dxf>
              <fill>
                <patternFill>
                  <bgColor rgb="FFCCFF33"/>
                </patternFill>
              </fill>
            </x14:dxf>
          </x14:cfRule>
          <x14:cfRule type="expression" priority="15" id="{0527A29E-5094-484A-AE35-646A88584724}">
            <xm:f>$D$12='Inputs - Metric'!$N$11</xm:f>
            <x14:dxf>
              <fill>
                <patternFill>
                  <bgColor rgb="FFFFFF99"/>
                </patternFill>
              </fill>
            </x14:dxf>
          </x14:cfRule>
          <x14:cfRule type="expression" priority="21" id="{95E66FD6-CA32-469A-8711-AAACE058D357}">
            <xm:f>'Inputs - Metric'!$N$3=4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D12</xm:sqref>
        </x14:conditionalFormatting>
        <x14:conditionalFormatting xmlns:xm="http://schemas.microsoft.com/office/excel/2006/main">
          <x14:cfRule type="expression" priority="18" id="{D572F19B-2EAD-4129-BB1A-60D6F31D9BEC}">
            <xm:f>$D$9='Inputs - Metric'!$N$8</xm:f>
            <x14:dxf>
              <fill>
                <patternFill>
                  <bgColor rgb="FFFFFF99"/>
                </patternFill>
              </fill>
            </x14:dxf>
          </x14:cfRule>
          <x14:cfRule type="expression" priority="1" id="{546055C8-06AA-431D-977C-DCC8FB38272A}">
            <xm:f>$D$9='Inputs - Metric'!$O$8</xm:f>
            <x14:dxf>
              <fill>
                <patternFill>
                  <bgColor rgb="FFCCFF33"/>
                </patternFill>
              </fill>
            </x14:dxf>
          </x14:cfRule>
          <xm:sqref>D9</xm:sqref>
        </x14:conditionalFormatting>
        <x14:conditionalFormatting xmlns:xm="http://schemas.microsoft.com/office/excel/2006/main">
          <x14:cfRule type="expression" priority="11" id="{4289D91C-A4C2-47DA-AAC7-07C962D15707}">
            <xm:f>$D$10='Inputs - Metric'!$O$9</xm:f>
            <x14:dxf>
              <fill>
                <patternFill>
                  <bgColor rgb="FFCCFF33"/>
                </patternFill>
              </fill>
            </x14:dxf>
          </x14:cfRule>
          <x14:cfRule type="expression" priority="17" id="{7BD9EE82-72E1-4559-AA91-236B49EC4D13}">
            <xm:f>$D$10='Inputs - Metric'!$N$9</xm:f>
            <x14:dxf>
              <fill>
                <patternFill>
                  <bgColor rgb="FFFFFF99"/>
                </patternFill>
              </fill>
            </x14:dxf>
          </x14:cfRule>
          <xm:sqref>D10</xm:sqref>
        </x14:conditionalFormatting>
        <x14:conditionalFormatting xmlns:xm="http://schemas.microsoft.com/office/excel/2006/main">
          <x14:cfRule type="expression" priority="10" id="{1658B6F8-0AF2-426D-8F7A-449444B27027}">
            <xm:f>$D$11='Inputs - Metric'!$O$10</xm:f>
            <x14:dxf>
              <fill>
                <patternFill>
                  <bgColor rgb="FFCCFF33"/>
                </patternFill>
              </fill>
            </x14:dxf>
          </x14:cfRule>
          <x14:cfRule type="expression" priority="16" id="{7D76D63A-F3AE-427B-9BDE-395F3101A1C7}">
            <xm:f>$D$11='Inputs - Metric'!$N$10</xm:f>
            <x14:dxf>
              <fill>
                <patternFill>
                  <bgColor rgb="FFFFFF99"/>
                </patternFill>
              </fill>
            </x14:dxf>
          </x14:cfRule>
          <xm:sqref>D11</xm:sqref>
        </x14:conditionalFormatting>
        <x14:conditionalFormatting xmlns:xm="http://schemas.microsoft.com/office/excel/2006/main">
          <x14:cfRule type="expression" priority="7" id="{44FE6EC4-8BCF-42E7-803A-E27B7E683909}">
            <xm:f>'Inputs - Metric'!$N$3=4</xm:f>
            <x14:dxf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D12:D13</xm:sqref>
        </x14:conditionalFormatting>
        <x14:conditionalFormatting xmlns:xm="http://schemas.microsoft.com/office/excel/2006/main">
          <x14:cfRule type="expression" priority="5" id="{54E53D05-49BC-4169-A990-2A824DC95A8F}">
            <xm:f>Inputs!$G$3=0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D24:H24</xm:sqref>
        </x14:conditionalFormatting>
        <x14:conditionalFormatting xmlns:xm="http://schemas.microsoft.com/office/excel/2006/main">
          <x14:cfRule type="expression" priority="4" id="{3A114B96-058B-4D92-BBF4-58996B0171A0}">
            <xm:f>Inputs!$G$4=0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D25:H25</xm:sqref>
        </x14:conditionalFormatting>
        <x14:conditionalFormatting xmlns:xm="http://schemas.microsoft.com/office/excel/2006/main">
          <x14:cfRule type="expression" priority="3" id="{859FA3CF-0F57-4C29-AC20-A8744871E64A}">
            <xm:f>$D$8='Inputs - Metric'!$N$7</xm:f>
            <x14:dxf>
              <fill>
                <patternFill>
                  <bgColor rgb="FFFFFF99"/>
                </patternFill>
              </fill>
            </x14:dxf>
          </x14:cfRule>
          <x14:cfRule type="expression" priority="2" id="{CB16E03A-7E98-441F-A28F-DA3AF9BD4F26}">
            <xm:f>$D$8='Inputs - Metric'!$O$7</xm:f>
            <x14:dxf>
              <fill>
                <patternFill>
                  <bgColor rgb="FFCCFF33"/>
                </patternFill>
              </fill>
            </x14:dxf>
          </x14:cfRule>
          <xm:sqref>D8</xm:sqref>
        </x14:conditionalFormatting>
      </x14:conditionalFormattings>
    </ex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8"/>
  <sheetViews>
    <sheetView showGridLines="0" zoomScale="70" zoomScaleNormal="70" zoomScalePageLayoutView="70" workbookViewId="0">
      <selection activeCell="AH1" sqref="AH1"/>
    </sheetView>
  </sheetViews>
  <sheetFormatPr baseColWidth="10" defaultColWidth="8.83203125" defaultRowHeight="14" x14ac:dyDescent="0"/>
  <sheetData>
    <row r="1" spans="2:15" ht="17">
      <c r="B1" s="460" t="s">
        <v>240</v>
      </c>
      <c r="C1" s="460"/>
      <c r="D1" s="460"/>
      <c r="E1" s="460"/>
      <c r="F1" s="460"/>
      <c r="G1" s="460"/>
      <c r="H1" s="460"/>
      <c r="I1" s="460"/>
      <c r="J1" s="460"/>
      <c r="K1" s="460"/>
      <c r="L1" s="115"/>
      <c r="M1" s="115"/>
      <c r="N1" s="115"/>
      <c r="O1" s="115"/>
    </row>
    <row r="2" spans="2:15" ht="17"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115"/>
      <c r="M2" s="115"/>
      <c r="N2" s="115"/>
      <c r="O2" s="115"/>
    </row>
    <row r="3" spans="2:15" ht="17">
      <c r="B3" s="463" t="s">
        <v>243</v>
      </c>
      <c r="C3" s="463"/>
      <c r="D3" s="463"/>
      <c r="E3" s="463"/>
      <c r="F3" s="463"/>
      <c r="G3" s="463"/>
      <c r="H3" s="463"/>
      <c r="I3" s="463"/>
      <c r="J3" s="463"/>
      <c r="K3" s="463"/>
      <c r="L3" s="115"/>
      <c r="M3" s="115"/>
      <c r="N3" s="115"/>
      <c r="O3" s="115"/>
    </row>
    <row r="4" spans="2:15" ht="18" customHeight="1">
      <c r="B4" s="464" t="s">
        <v>238</v>
      </c>
      <c r="C4" s="464"/>
      <c r="D4" s="464"/>
      <c r="E4" s="464"/>
      <c r="F4" s="464"/>
      <c r="G4" s="464"/>
      <c r="H4" s="464"/>
      <c r="I4" s="464"/>
      <c r="J4" s="464"/>
      <c r="K4" s="464"/>
      <c r="L4" s="115"/>
      <c r="M4" s="115"/>
      <c r="N4" s="115"/>
      <c r="O4" s="115"/>
    </row>
    <row r="5" spans="2:15" ht="18" customHeight="1">
      <c r="B5" s="348"/>
      <c r="C5" s="348"/>
      <c r="D5" s="348"/>
      <c r="E5" s="348"/>
      <c r="F5" s="348"/>
      <c r="G5" s="348"/>
      <c r="H5" s="348"/>
      <c r="I5" s="348"/>
      <c r="J5" s="348"/>
      <c r="K5" s="348"/>
      <c r="L5" s="115"/>
      <c r="M5" s="115"/>
      <c r="N5" s="115"/>
      <c r="O5" s="115"/>
    </row>
    <row r="6" spans="2:15" ht="17">
      <c r="B6" s="461" t="s">
        <v>244</v>
      </c>
      <c r="C6" s="461"/>
      <c r="D6" s="461"/>
      <c r="E6" s="461"/>
      <c r="F6" s="461"/>
      <c r="G6" s="461"/>
      <c r="H6" s="461"/>
      <c r="I6" s="461"/>
      <c r="J6" s="461"/>
      <c r="K6" s="461"/>
      <c r="L6" s="115"/>
      <c r="M6" s="115"/>
      <c r="N6" s="115"/>
      <c r="O6" s="115"/>
    </row>
    <row r="7" spans="2:15" ht="17">
      <c r="B7" s="461" t="s">
        <v>245</v>
      </c>
      <c r="C7" s="461"/>
      <c r="D7" s="461"/>
      <c r="E7" s="461"/>
      <c r="F7" s="461"/>
      <c r="G7" s="461"/>
      <c r="H7" s="461"/>
      <c r="I7" s="461"/>
      <c r="J7" s="461"/>
      <c r="K7" s="461"/>
      <c r="L7" s="115"/>
      <c r="M7" s="115"/>
      <c r="N7" s="115"/>
      <c r="O7" s="115"/>
    </row>
    <row r="8" spans="2:15" ht="17">
      <c r="B8" s="461" t="s">
        <v>246</v>
      </c>
      <c r="C8" s="461"/>
      <c r="D8" s="461"/>
      <c r="E8" s="461"/>
      <c r="F8" s="461"/>
      <c r="G8" s="461"/>
      <c r="H8" s="461"/>
      <c r="I8" s="461"/>
      <c r="J8" s="461"/>
      <c r="K8" s="461"/>
      <c r="L8" s="115"/>
      <c r="M8" s="115"/>
      <c r="N8" s="115"/>
      <c r="O8" s="115"/>
    </row>
    <row r="9" spans="2:15" ht="17">
      <c r="B9" s="462" t="s">
        <v>239</v>
      </c>
      <c r="C9" s="462"/>
      <c r="D9" s="462"/>
      <c r="E9" s="462"/>
      <c r="F9" s="462"/>
      <c r="G9" s="462"/>
      <c r="H9" s="462"/>
      <c r="I9" s="462"/>
      <c r="J9" s="462"/>
      <c r="K9" s="462"/>
      <c r="L9" s="115"/>
      <c r="M9" s="115"/>
      <c r="N9" s="115"/>
      <c r="O9" s="115"/>
    </row>
    <row r="10" spans="2:15" ht="17">
      <c r="B10" s="461" t="s">
        <v>241</v>
      </c>
      <c r="C10" s="461"/>
      <c r="D10" s="461"/>
      <c r="E10" s="461"/>
      <c r="F10" s="461"/>
      <c r="G10" s="461"/>
      <c r="H10" s="461"/>
      <c r="I10" s="461"/>
      <c r="J10" s="461"/>
      <c r="K10" s="461"/>
      <c r="L10" s="349"/>
      <c r="M10" s="349"/>
      <c r="N10" s="115"/>
      <c r="O10" s="115"/>
    </row>
    <row r="11" spans="2:15" ht="17">
      <c r="B11" s="115" t="s">
        <v>242</v>
      </c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</row>
    <row r="12" spans="2:15" ht="17"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</row>
    <row r="13" spans="2:15" ht="17">
      <c r="B13" s="461" t="s">
        <v>247</v>
      </c>
      <c r="C13" s="461"/>
      <c r="D13" s="461"/>
      <c r="E13" s="461"/>
      <c r="F13" s="461"/>
      <c r="G13" s="461"/>
      <c r="H13" s="461"/>
      <c r="I13" s="461"/>
      <c r="J13" s="461"/>
      <c r="K13" s="461"/>
      <c r="L13" s="461"/>
      <c r="M13" s="461"/>
      <c r="N13" s="461"/>
      <c r="O13" s="115"/>
    </row>
    <row r="14" spans="2:15" ht="17">
      <c r="B14" s="115"/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</row>
    <row r="15" spans="2:15" ht="17">
      <c r="B15" s="115"/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</row>
    <row r="16" spans="2:15" ht="17">
      <c r="B16" s="115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</row>
    <row r="17" spans="2:15" ht="17">
      <c r="B17" s="115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</row>
    <row r="18" spans="2:15" ht="17">
      <c r="B18" s="115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</row>
  </sheetData>
  <sheetProtection sheet="1" objects="1" scenarios="1"/>
  <mergeCells count="9">
    <mergeCell ref="B1:K2"/>
    <mergeCell ref="B8:K8"/>
    <mergeCell ref="B9:K9"/>
    <mergeCell ref="B10:K10"/>
    <mergeCell ref="B13:N13"/>
    <mergeCell ref="B3:K3"/>
    <mergeCell ref="B4:K4"/>
    <mergeCell ref="B6:K6"/>
    <mergeCell ref="B7:K7"/>
  </mergeCells>
  <pageMargins left="0.7" right="0.7" top="0.75" bottom="0.75" header="0.3" footer="0.3"/>
  <pageSetup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Instructions</vt:lpstr>
      <vt:lpstr>Inputs - Metric</vt:lpstr>
      <vt:lpstr>Fixed_Weight</vt:lpstr>
      <vt:lpstr>Fixed_Time</vt:lpstr>
      <vt:lpstr>Fixed_Weight_Validations</vt:lpstr>
      <vt:lpstr>CalculationsCurrent</vt:lpstr>
      <vt:lpstr>GrowthCurveAdjustments</vt:lpstr>
      <vt:lpstr>Outputs</vt:lpstr>
      <vt:lpstr>Installing_Solver</vt:lpstr>
      <vt:lpstr>Inputs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Soto</dc:creator>
  <cp:lastModifiedBy>Megan McKeever</cp:lastModifiedBy>
  <cp:lastPrinted>2017-08-15T16:20:43Z</cp:lastPrinted>
  <dcterms:created xsi:type="dcterms:W3CDTF">2016-10-02T03:41:35Z</dcterms:created>
  <dcterms:modified xsi:type="dcterms:W3CDTF">2017-11-15T15:21:06Z</dcterms:modified>
</cp:coreProperties>
</file>